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0" windowWidth="3930" windowHeight="1170" firstSheet="1" activeTab="4"/>
  </bookViews>
  <sheets>
    <sheet name="Latihan NPV dan IRR" sheetId="5" r:id="rId1"/>
    <sheet name="Latihan CAGR" sheetId="6" r:id="rId2"/>
    <sheet name="Revenue" sheetId="2" r:id="rId3"/>
    <sheet name="Opex" sheetId="3" r:id="rId4"/>
    <sheet name="Capex" sheetId="4" r:id="rId5"/>
    <sheet name="Cash Flow and Valuation" sheetId="1" r:id="rId6"/>
  </sheets>
  <calcPr calcId="144525"/>
</workbook>
</file>

<file path=xl/calcChain.xml><?xml version="1.0" encoding="utf-8"?>
<calcChain xmlns="http://schemas.openxmlformats.org/spreadsheetml/2006/main">
  <c r="B22" i="5" l="1"/>
  <c r="B23" i="5"/>
  <c r="B31" i="1" l="1"/>
  <c r="B29" i="1"/>
  <c r="C18" i="3"/>
  <c r="C10" i="3"/>
  <c r="M14" i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C12" i="1"/>
  <c r="C10" i="1"/>
  <c r="C9" i="1"/>
  <c r="C8" i="1"/>
  <c r="C7" i="1"/>
  <c r="C16" i="1" s="1"/>
  <c r="C5" i="1"/>
  <c r="M16" i="4"/>
  <c r="M19" i="4"/>
  <c r="M9" i="4"/>
  <c r="L9" i="4"/>
  <c r="K9" i="4"/>
  <c r="J9" i="4"/>
  <c r="I9" i="4"/>
  <c r="H9" i="4"/>
  <c r="G9" i="4"/>
  <c r="F9" i="4"/>
  <c r="E9" i="4"/>
  <c r="D9" i="4"/>
  <c r="M8" i="4"/>
  <c r="L16" i="4"/>
  <c r="K16" i="4"/>
  <c r="J16" i="4"/>
  <c r="I16" i="4"/>
  <c r="H16" i="4"/>
  <c r="G16" i="4"/>
  <c r="F16" i="4"/>
  <c r="E16" i="4"/>
  <c r="D16" i="4"/>
  <c r="C16" i="4"/>
  <c r="D8" i="4"/>
  <c r="E8" i="4" s="1"/>
  <c r="F8" i="4" s="1"/>
  <c r="G8" i="4" s="1"/>
  <c r="H8" i="4" s="1"/>
  <c r="I8" i="4" s="1"/>
  <c r="J8" i="4" s="1"/>
  <c r="K8" i="4" s="1"/>
  <c r="L8" i="4" s="1"/>
  <c r="M5" i="4"/>
  <c r="L5" i="4"/>
  <c r="K5" i="4"/>
  <c r="J5" i="4"/>
  <c r="I5" i="4"/>
  <c r="H5" i="4"/>
  <c r="G5" i="4"/>
  <c r="F5" i="4"/>
  <c r="E5" i="4"/>
  <c r="D5" i="4"/>
  <c r="E15" i="3"/>
  <c r="F15" i="3" s="1"/>
  <c r="G15" i="3" s="1"/>
  <c r="H15" i="3" s="1"/>
  <c r="I15" i="3" s="1"/>
  <c r="J15" i="3" s="1"/>
  <c r="K15" i="3" s="1"/>
  <c r="L15" i="3" s="1"/>
  <c r="M15" i="3" s="1"/>
  <c r="E12" i="3"/>
  <c r="F12" i="3" s="1"/>
  <c r="G12" i="3" s="1"/>
  <c r="H12" i="3" s="1"/>
  <c r="I12" i="3" s="1"/>
  <c r="J12" i="3" s="1"/>
  <c r="K12" i="3" s="1"/>
  <c r="L12" i="3" s="1"/>
  <c r="M12" i="3" s="1"/>
  <c r="F9" i="3"/>
  <c r="G9" i="3" s="1"/>
  <c r="H9" i="3" s="1"/>
  <c r="I9" i="3" s="1"/>
  <c r="J9" i="3" s="1"/>
  <c r="K9" i="3" s="1"/>
  <c r="L9" i="3" s="1"/>
  <c r="M9" i="3" s="1"/>
  <c r="M5" i="3"/>
  <c r="M16" i="3" s="1"/>
  <c r="M10" i="1" s="1"/>
  <c r="L5" i="3"/>
  <c r="L16" i="3" s="1"/>
  <c r="L10" i="1" s="1"/>
  <c r="K5" i="3"/>
  <c r="K16" i="3" s="1"/>
  <c r="K10" i="1" s="1"/>
  <c r="J5" i="3"/>
  <c r="J16" i="3" s="1"/>
  <c r="J10" i="1" s="1"/>
  <c r="I5" i="3"/>
  <c r="I16" i="3" s="1"/>
  <c r="I10" i="1" s="1"/>
  <c r="H5" i="3"/>
  <c r="H16" i="3" s="1"/>
  <c r="H10" i="1" s="1"/>
  <c r="G5" i="3"/>
  <c r="G16" i="3" s="1"/>
  <c r="G10" i="1" s="1"/>
  <c r="F5" i="3"/>
  <c r="F16" i="3" s="1"/>
  <c r="F10" i="1" s="1"/>
  <c r="E5" i="3"/>
  <c r="E16" i="3" s="1"/>
  <c r="E10" i="1" s="1"/>
  <c r="D5" i="3"/>
  <c r="D16" i="3" s="1"/>
  <c r="D10" i="1" s="1"/>
  <c r="D11" i="6"/>
  <c r="E11" i="6" s="1"/>
  <c r="F11" i="6" s="1"/>
  <c r="C11" i="6"/>
  <c r="F10" i="6"/>
  <c r="D10" i="6"/>
  <c r="E10" i="6" s="1"/>
  <c r="C10" i="6"/>
  <c r="F7" i="6"/>
  <c r="F4" i="6"/>
  <c r="E4" i="6"/>
  <c r="D4" i="6"/>
  <c r="C4" i="6"/>
  <c r="F6" i="6" s="1"/>
  <c r="D10" i="3" l="1"/>
  <c r="D8" i="1" s="1"/>
  <c r="D13" i="3"/>
  <c r="D9" i="1" s="1"/>
  <c r="E10" i="3"/>
  <c r="F10" i="3"/>
  <c r="G10" i="3"/>
  <c r="H10" i="3"/>
  <c r="I10" i="3"/>
  <c r="J10" i="3"/>
  <c r="K10" i="3"/>
  <c r="L10" i="3"/>
  <c r="M10" i="3"/>
  <c r="E13" i="3"/>
  <c r="E9" i="1" s="1"/>
  <c r="F13" i="3"/>
  <c r="F9" i="1" s="1"/>
  <c r="G13" i="3"/>
  <c r="G9" i="1" s="1"/>
  <c r="H13" i="3"/>
  <c r="H9" i="1" s="1"/>
  <c r="I13" i="3"/>
  <c r="I9" i="1" s="1"/>
  <c r="J13" i="3"/>
  <c r="J9" i="1" s="1"/>
  <c r="K13" i="3"/>
  <c r="K9" i="1" s="1"/>
  <c r="L13" i="3"/>
  <c r="L9" i="1" s="1"/>
  <c r="M13" i="3"/>
  <c r="M9" i="1" s="1"/>
  <c r="C9" i="4"/>
  <c r="D12" i="1" s="1"/>
  <c r="E12" i="1"/>
  <c r="F12" i="1"/>
  <c r="G12" i="1"/>
  <c r="H12" i="1"/>
  <c r="I12" i="1"/>
  <c r="J12" i="1"/>
  <c r="K12" i="1"/>
  <c r="L12" i="1"/>
  <c r="M12" i="1"/>
  <c r="B26" i="1"/>
  <c r="B23" i="1"/>
  <c r="L7" i="5"/>
  <c r="M7" i="5" s="1"/>
  <c r="K7" i="5"/>
  <c r="J7" i="5"/>
  <c r="I7" i="5"/>
  <c r="H7" i="5"/>
  <c r="G7" i="5"/>
  <c r="F7" i="5"/>
  <c r="E7" i="5"/>
  <c r="D7" i="5"/>
  <c r="C7" i="5"/>
  <c r="B7" i="5"/>
  <c r="M18" i="3" l="1"/>
  <c r="M8" i="1"/>
  <c r="M7" i="1" s="1"/>
  <c r="L18" i="3"/>
  <c r="L8" i="1"/>
  <c r="L7" i="1" s="1"/>
  <c r="L16" i="1" s="1"/>
  <c r="K18" i="3"/>
  <c r="K8" i="1"/>
  <c r="K7" i="1" s="1"/>
  <c r="K16" i="1" s="1"/>
  <c r="J18" i="3"/>
  <c r="J8" i="1"/>
  <c r="J7" i="1" s="1"/>
  <c r="J16" i="1" s="1"/>
  <c r="I18" i="3"/>
  <c r="I8" i="1"/>
  <c r="I7" i="1" s="1"/>
  <c r="I16" i="1" s="1"/>
  <c r="H18" i="3"/>
  <c r="H8" i="1"/>
  <c r="H7" i="1" s="1"/>
  <c r="H16" i="1" s="1"/>
  <c r="G18" i="3"/>
  <c r="G8" i="1"/>
  <c r="G7" i="1" s="1"/>
  <c r="G16" i="1" s="1"/>
  <c r="F18" i="3"/>
  <c r="F8" i="1"/>
  <c r="F7" i="1" s="1"/>
  <c r="F16" i="1" s="1"/>
  <c r="E18" i="3"/>
  <c r="E8" i="1"/>
  <c r="E7" i="1" s="1"/>
  <c r="E16" i="1" s="1"/>
  <c r="D7" i="1"/>
  <c r="D18" i="3"/>
  <c r="L19" i="4"/>
  <c r="K19" i="4"/>
  <c r="J19" i="4"/>
  <c r="I19" i="4"/>
  <c r="H19" i="4"/>
  <c r="G19" i="4"/>
  <c r="F19" i="4"/>
  <c r="E19" i="4"/>
  <c r="D19" i="4"/>
  <c r="C19" i="4"/>
  <c r="B13" i="5"/>
  <c r="B11" i="5"/>
  <c r="J35" i="2"/>
  <c r="K35" i="2" s="1"/>
  <c r="L35" i="2" s="1"/>
  <c r="M35" i="2" s="1"/>
  <c r="N35" i="2" s="1"/>
  <c r="O35" i="2" s="1"/>
  <c r="P35" i="2" s="1"/>
  <c r="Q35" i="2" s="1"/>
  <c r="I34" i="2"/>
  <c r="J34" i="2" s="1"/>
  <c r="K34" i="2" s="1"/>
  <c r="I14" i="2"/>
  <c r="J14" i="2" s="1"/>
  <c r="K14" i="2" s="1"/>
  <c r="L14" i="2" s="1"/>
  <c r="M14" i="2" s="1"/>
  <c r="N14" i="2" s="1"/>
  <c r="O14" i="2" s="1"/>
  <c r="P14" i="2" s="1"/>
  <c r="Q14" i="2" s="1"/>
  <c r="I23" i="2"/>
  <c r="J23" i="2" s="1"/>
  <c r="K23" i="2" s="1"/>
  <c r="L23" i="2" s="1"/>
  <c r="M23" i="2" s="1"/>
  <c r="N23" i="2" s="1"/>
  <c r="O23" i="2" s="1"/>
  <c r="P23" i="2" s="1"/>
  <c r="Q23" i="2" s="1"/>
  <c r="I22" i="2"/>
  <c r="J22" i="2" s="1"/>
  <c r="K22" i="2" s="1"/>
  <c r="L22" i="2" s="1"/>
  <c r="M22" i="2" s="1"/>
  <c r="N22" i="2" s="1"/>
  <c r="O22" i="2" s="1"/>
  <c r="P22" i="2" s="1"/>
  <c r="Q22" i="2" s="1"/>
  <c r="I21" i="2"/>
  <c r="I24" i="2" s="1"/>
  <c r="H24" i="2"/>
  <c r="I10" i="2"/>
  <c r="E6" i="2"/>
  <c r="D6" i="2"/>
  <c r="C6" i="2"/>
  <c r="F5" i="2"/>
  <c r="F4" i="2"/>
  <c r="G7" i="2" s="1"/>
  <c r="G5" i="2" s="1"/>
  <c r="D16" i="1" l="1"/>
  <c r="M16" i="1"/>
  <c r="N16" i="1" s="1"/>
  <c r="J21" i="2"/>
  <c r="L34" i="2"/>
  <c r="M34" i="2" s="1"/>
  <c r="N34" i="2" s="1"/>
  <c r="O34" i="2" s="1"/>
  <c r="P34" i="2" s="1"/>
  <c r="Q34" i="2" s="1"/>
  <c r="G4" i="2"/>
  <c r="H7" i="2"/>
  <c r="I7" i="2" s="1"/>
  <c r="J7" i="2" s="1"/>
  <c r="K7" i="2" s="1"/>
  <c r="L7" i="2" s="1"/>
  <c r="M7" i="2" s="1"/>
  <c r="N7" i="2" s="1"/>
  <c r="O7" i="2" s="1"/>
  <c r="P7" i="2" s="1"/>
  <c r="Q7" i="2" s="1"/>
  <c r="G6" i="2"/>
  <c r="J10" i="2"/>
  <c r="H5" i="2"/>
  <c r="K21" i="2" l="1"/>
  <c r="J24" i="2"/>
  <c r="K10" i="2"/>
  <c r="H4" i="2"/>
  <c r="I4" i="2" s="1"/>
  <c r="J4" i="2" s="1"/>
  <c r="K4" i="2" s="1"/>
  <c r="L4" i="2" s="1"/>
  <c r="M4" i="2" s="1"/>
  <c r="N4" i="2" s="1"/>
  <c r="O4" i="2" s="1"/>
  <c r="P4" i="2" s="1"/>
  <c r="Q4" i="2" s="1"/>
  <c r="H6" i="2"/>
  <c r="H11" i="2" s="1"/>
  <c r="H15" i="2" s="1"/>
  <c r="H18" i="2" s="1"/>
  <c r="I5" i="2"/>
  <c r="L21" i="2" l="1"/>
  <c r="K24" i="2"/>
  <c r="H29" i="2"/>
  <c r="H32" i="2" s="1"/>
  <c r="H37" i="2" s="1"/>
  <c r="D5" i="1" s="1"/>
  <c r="H28" i="2"/>
  <c r="H27" i="2"/>
  <c r="H26" i="2"/>
  <c r="L10" i="2"/>
  <c r="J5" i="2"/>
  <c r="I6" i="2"/>
  <c r="I11" i="2" s="1"/>
  <c r="I15" i="2" s="1"/>
  <c r="I18" i="2" s="1"/>
  <c r="M21" i="2" l="1"/>
  <c r="L24" i="2"/>
  <c r="I29" i="2"/>
  <c r="I32" i="2" s="1"/>
  <c r="I37" i="2" s="1"/>
  <c r="E5" i="1" s="1"/>
  <c r="I28" i="2"/>
  <c r="I27" i="2"/>
  <c r="I26" i="2"/>
  <c r="M10" i="2"/>
  <c r="K5" i="2"/>
  <c r="J6" i="2"/>
  <c r="J11" i="2" s="1"/>
  <c r="J15" i="2" s="1"/>
  <c r="J18" i="2" s="1"/>
  <c r="N21" i="2" l="1"/>
  <c r="M24" i="2"/>
  <c r="J29" i="2"/>
  <c r="J32" i="2" s="1"/>
  <c r="J37" i="2" s="1"/>
  <c r="F5" i="1" s="1"/>
  <c r="J28" i="2"/>
  <c r="J27" i="2"/>
  <c r="J26" i="2"/>
  <c r="N10" i="2"/>
  <c r="L5" i="2"/>
  <c r="K6" i="2"/>
  <c r="K11" i="2" s="1"/>
  <c r="K15" i="2" s="1"/>
  <c r="K18" i="2" s="1"/>
  <c r="O21" i="2" l="1"/>
  <c r="N24" i="2"/>
  <c r="K29" i="2"/>
  <c r="K32" i="2" s="1"/>
  <c r="K37" i="2" s="1"/>
  <c r="G5" i="1" s="1"/>
  <c r="K28" i="2"/>
  <c r="K27" i="2"/>
  <c r="K26" i="2"/>
  <c r="O10" i="2"/>
  <c r="M5" i="2"/>
  <c r="L6" i="2"/>
  <c r="L11" i="2" s="1"/>
  <c r="L15" i="2" s="1"/>
  <c r="L18" i="2" s="1"/>
  <c r="P21" i="2" l="1"/>
  <c r="O24" i="2"/>
  <c r="L29" i="2"/>
  <c r="L32" i="2" s="1"/>
  <c r="L37" i="2" s="1"/>
  <c r="H5" i="1" s="1"/>
  <c r="L28" i="2"/>
  <c r="L27" i="2"/>
  <c r="L26" i="2"/>
  <c r="P10" i="2"/>
  <c r="N5" i="2"/>
  <c r="M6" i="2"/>
  <c r="M11" i="2" s="1"/>
  <c r="M15" i="2" s="1"/>
  <c r="M18" i="2" s="1"/>
  <c r="Q21" i="2" l="1"/>
  <c r="Q24" i="2" s="1"/>
  <c r="P24" i="2"/>
  <c r="M29" i="2"/>
  <c r="M32" i="2" s="1"/>
  <c r="M37" i="2" s="1"/>
  <c r="I5" i="1" s="1"/>
  <c r="M28" i="2"/>
  <c r="M27" i="2"/>
  <c r="M26" i="2"/>
  <c r="Q10" i="2"/>
  <c r="O5" i="2"/>
  <c r="N6" i="2"/>
  <c r="N11" i="2" s="1"/>
  <c r="N15" i="2" s="1"/>
  <c r="N18" i="2" s="1"/>
  <c r="N29" i="2" l="1"/>
  <c r="N32" i="2" s="1"/>
  <c r="N37" i="2" s="1"/>
  <c r="J5" i="1" s="1"/>
  <c r="N28" i="2"/>
  <c r="N27" i="2"/>
  <c r="N26" i="2"/>
  <c r="P5" i="2"/>
  <c r="O6" i="2"/>
  <c r="O11" i="2" s="1"/>
  <c r="O15" i="2" s="1"/>
  <c r="O18" i="2" s="1"/>
  <c r="O29" i="2" l="1"/>
  <c r="O32" i="2" s="1"/>
  <c r="O37" i="2" s="1"/>
  <c r="K5" i="1" s="1"/>
  <c r="O28" i="2"/>
  <c r="O27" i="2"/>
  <c r="O26" i="2"/>
  <c r="P6" i="2"/>
  <c r="P11" i="2" s="1"/>
  <c r="P15" i="2" s="1"/>
  <c r="P18" i="2" s="1"/>
  <c r="Q5" i="2"/>
  <c r="Q6" i="2" s="1"/>
  <c r="Q11" i="2" s="1"/>
  <c r="Q15" i="2" s="1"/>
  <c r="Q18" i="2" s="1"/>
  <c r="Q29" i="2" l="1"/>
  <c r="Q32" i="2" s="1"/>
  <c r="Q37" i="2" s="1"/>
  <c r="M5" i="1" s="1"/>
  <c r="Q28" i="2"/>
  <c r="Q27" i="2"/>
  <c r="Q26" i="2"/>
  <c r="P29" i="2"/>
  <c r="P32" i="2" s="1"/>
  <c r="P37" i="2" s="1"/>
  <c r="L5" i="1" s="1"/>
  <c r="P28" i="2"/>
  <c r="P27" i="2"/>
  <c r="P26" i="2"/>
</calcChain>
</file>

<file path=xl/sharedStrings.xml><?xml version="1.0" encoding="utf-8"?>
<sst xmlns="http://schemas.openxmlformats.org/spreadsheetml/2006/main" count="149" uniqueCount="90">
  <si>
    <t>Total Market</t>
  </si>
  <si>
    <t>Target Population</t>
  </si>
  <si>
    <t>Bandung</t>
  </si>
  <si>
    <t>Jakarta</t>
  </si>
  <si>
    <t>Growth</t>
  </si>
  <si>
    <t>HISTORICAL</t>
  </si>
  <si>
    <t>PROJECTION</t>
  </si>
  <si>
    <t>Year</t>
  </si>
  <si>
    <t>TOTAL POPULATION</t>
  </si>
  <si>
    <t>Consumption per capita</t>
  </si>
  <si>
    <t>Market share</t>
  </si>
  <si>
    <t>Competitor A</t>
  </si>
  <si>
    <t>Competitor B</t>
  </si>
  <si>
    <t>Competitor C</t>
  </si>
  <si>
    <t>My Company</t>
  </si>
  <si>
    <t>percent</t>
  </si>
  <si>
    <t>Units</t>
  </si>
  <si>
    <t>Revenue</t>
  </si>
  <si>
    <t>Total sales</t>
  </si>
  <si>
    <t>Price</t>
  </si>
  <si>
    <t>mio people</t>
  </si>
  <si>
    <t>CAGR (13-15)</t>
  </si>
  <si>
    <t>%</t>
  </si>
  <si>
    <t>Addressable Market (AM)</t>
  </si>
  <si>
    <t xml:space="preserve">Total Market </t>
  </si>
  <si>
    <t>unit per year</t>
  </si>
  <si>
    <t>mio units</t>
  </si>
  <si>
    <t>Rp / unit</t>
  </si>
  <si>
    <t>Rp / year</t>
  </si>
  <si>
    <t>inflation</t>
  </si>
  <si>
    <t>percent of population who CAN buy</t>
  </si>
  <si>
    <t>percent of AM who WILL buy</t>
  </si>
  <si>
    <t>Tahun ke</t>
  </si>
  <si>
    <t>Operating Expenditure (Opex)</t>
  </si>
  <si>
    <t>Capital Expenditure (Capex)</t>
  </si>
  <si>
    <t>FREE CASH FLOW</t>
  </si>
  <si>
    <t>Terminal 
Value</t>
  </si>
  <si>
    <t>Discount Rate (cost of capital)</t>
  </si>
  <si>
    <t>NET PRESENT VALUE (NPV)</t>
  </si>
  <si>
    <t>INTERNAL RATE OF RETURN (IRR)</t>
  </si>
  <si>
    <t>Operating Expeditures</t>
  </si>
  <si>
    <t>Capital Expenditures</t>
  </si>
  <si>
    <t>FREE CASH FLOW PROJECTION</t>
  </si>
  <si>
    <t>Working Capital</t>
  </si>
  <si>
    <t>Fixed Assets</t>
  </si>
  <si>
    <t>Cost of Goods Sold</t>
  </si>
  <si>
    <t>Selling and Administrative Expenses</t>
  </si>
  <si>
    <t>INVESTMENT VALUATION</t>
  </si>
  <si>
    <t>Rp mio</t>
  </si>
  <si>
    <t>Percentage of Debt</t>
  </si>
  <si>
    <t>Percentage of Equity</t>
  </si>
  <si>
    <t>Cost of Debt</t>
  </si>
  <si>
    <t>Cost of Equity</t>
  </si>
  <si>
    <t>Weighted Average Cost of Capital</t>
  </si>
  <si>
    <t>(discount rate)</t>
  </si>
  <si>
    <t>Corporate income tax rate</t>
  </si>
  <si>
    <t>IRR</t>
  </si>
  <si>
    <t>FREE CASH FLOWS</t>
  </si>
  <si>
    <t>Populasi</t>
  </si>
  <si>
    <t>Year 0</t>
  </si>
  <si>
    <t>Year 1</t>
  </si>
  <si>
    <t>Year 2</t>
  </si>
  <si>
    <t>Year 3</t>
  </si>
  <si>
    <t>Year 4</t>
  </si>
  <si>
    <t>Menghitung CAGR</t>
  </si>
  <si>
    <t>Rata-rata growth aritmetik</t>
  </si>
  <si>
    <t>Rata-rata growth geometrik (CAGR)</t>
  </si>
  <si>
    <t>Actual</t>
  </si>
  <si>
    <t>Proyeksi</t>
  </si>
  <si>
    <t>Aritmetik</t>
  </si>
  <si>
    <t>Geometrik</t>
  </si>
  <si>
    <t>Operating Expenditure Projection</t>
  </si>
  <si>
    <t>Revenue Projection</t>
  </si>
  <si>
    <t>Total Operating Expenditures</t>
  </si>
  <si>
    <t>% or revenue</t>
  </si>
  <si>
    <t>Others</t>
  </si>
  <si>
    <t>Capital Expenditure Projection</t>
  </si>
  <si>
    <t>Total Capital Expenditures</t>
  </si>
  <si>
    <t>Total Fixed Asset Investments</t>
  </si>
  <si>
    <t>Latihan IRR dan NPV</t>
  </si>
  <si>
    <t>Komputer</t>
  </si>
  <si>
    <t>Software</t>
  </si>
  <si>
    <t>dll..</t>
  </si>
  <si>
    <t>Renovasi kantor</t>
  </si>
  <si>
    <t>Operating Expenditures</t>
  </si>
  <si>
    <t>Terminal</t>
  </si>
  <si>
    <t>Value</t>
  </si>
  <si>
    <t>NPV (Rp mio)</t>
  </si>
  <si>
    <t>npv</t>
  </si>
  <si>
    <t>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</si>
</sst>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right"/>
    </xf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43" fontId="0" fillId="0" borderId="0" xfId="1" applyFont="1"/>
    <xf numFmtId="164" fontId="0" fillId="0" borderId="0" xfId="2" applyNumberFormat="1" applyFont="1"/>
    <xf numFmtId="43" fontId="2" fillId="0" borderId="0" xfId="0" applyNumberFormat="1" applyFont="1"/>
    <xf numFmtId="9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/>
    </xf>
    <xf numFmtId="165" fontId="0" fillId="0" borderId="0" xfId="0" applyNumberFormat="1"/>
    <xf numFmtId="165" fontId="0" fillId="0" borderId="0" xfId="1" applyNumberFormat="1" applyFont="1"/>
    <xf numFmtId="165" fontId="2" fillId="0" borderId="0" xfId="1" applyNumberFormat="1" applyFont="1"/>
    <xf numFmtId="0" fontId="2" fillId="0" borderId="0" xfId="0" applyFont="1" applyAlignment="1">
      <alignment horizontal="center" wrapText="1"/>
    </xf>
    <xf numFmtId="9" fontId="2" fillId="0" borderId="0" xfId="2" applyFont="1"/>
    <xf numFmtId="165" fontId="2" fillId="0" borderId="0" xfId="0" applyNumberFormat="1" applyFont="1"/>
    <xf numFmtId="9" fontId="2" fillId="0" borderId="0" xfId="0" applyNumberFormat="1" applyFont="1"/>
    <xf numFmtId="0" fontId="5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164" fontId="2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9" fillId="0" borderId="0" xfId="2" applyNumberFormat="1" applyFont="1"/>
    <xf numFmtId="0" fontId="7" fillId="0" borderId="0" xfId="0" applyFont="1" applyAlignment="1">
      <alignment horizontal="center"/>
    </xf>
    <xf numFmtId="165" fontId="9" fillId="0" borderId="0" xfId="1" applyNumberFormat="1" applyFont="1"/>
    <xf numFmtId="0" fontId="9" fillId="0" borderId="0" xfId="0" applyFont="1" applyAlignment="1">
      <alignment horizontal="right"/>
    </xf>
    <xf numFmtId="10" fontId="9" fillId="0" borderId="0" xfId="2" applyNumberFormat="1" applyFont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4" borderId="0" xfId="0" applyFont="1" applyFill="1"/>
    <xf numFmtId="0" fontId="2" fillId="6" borderId="0" xfId="0" applyFont="1" applyFill="1"/>
    <xf numFmtId="0" fontId="0" fillId="6" borderId="0" xfId="0" applyFill="1"/>
    <xf numFmtId="0" fontId="0" fillId="2" borderId="0" xfId="0" applyFill="1"/>
    <xf numFmtId="0" fontId="2" fillId="8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9" fontId="0" fillId="0" borderId="0" xfId="0" applyNumberFormat="1" applyFont="1"/>
    <xf numFmtId="0" fontId="4" fillId="6" borderId="0" xfId="0" applyFont="1" applyFill="1" applyAlignment="1">
      <alignment horizontal="center"/>
    </xf>
    <xf numFmtId="0" fontId="5" fillId="5" borderId="0" xfId="0" applyFont="1" applyFill="1"/>
    <xf numFmtId="0" fontId="3" fillId="5" borderId="0" xfId="0" applyFont="1" applyFill="1" applyAlignment="1">
      <alignment horizontal="center"/>
    </xf>
    <xf numFmtId="0" fontId="5" fillId="7" borderId="0" xfId="0" applyFont="1" applyFill="1"/>
    <xf numFmtId="0" fontId="5" fillId="6" borderId="0" xfId="0" applyFont="1" applyFill="1"/>
    <xf numFmtId="0" fontId="4" fillId="2" borderId="0" xfId="0" applyFont="1" applyFill="1" applyAlignment="1">
      <alignment horizontal="center"/>
    </xf>
    <xf numFmtId="0" fontId="0" fillId="0" borderId="0" xfId="0" applyFont="1" applyAlignment="1">
      <alignment horizontal="left" indent="1"/>
    </xf>
    <xf numFmtId="43" fontId="2" fillId="0" borderId="0" xfId="1" applyFont="1"/>
    <xf numFmtId="165" fontId="1" fillId="0" borderId="0" xfId="1" applyNumberFormat="1" applyFont="1" applyAlignment="1">
      <alignment horizontal="center"/>
    </xf>
    <xf numFmtId="0" fontId="0" fillId="9" borderId="0" xfId="0" applyFill="1"/>
    <xf numFmtId="0" fontId="6" fillId="9" borderId="0" xfId="0" applyFont="1" applyFill="1"/>
    <xf numFmtId="0" fontId="0" fillId="0" borderId="0" xfId="0" applyAlignment="1">
      <alignment horizontal="right"/>
    </xf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170" zoomScaleNormal="170" workbookViewId="0">
      <selection activeCell="C4" sqref="C4"/>
    </sheetView>
  </sheetViews>
  <sheetFormatPr defaultRowHeight="15" x14ac:dyDescent="0.25"/>
  <cols>
    <col min="1" max="1" width="34.28515625" customWidth="1"/>
    <col min="2" max="2" width="9.42578125" customWidth="1"/>
    <col min="3" max="12" width="6.7109375" customWidth="1"/>
  </cols>
  <sheetData>
    <row r="1" spans="1:13" ht="18.75" x14ac:dyDescent="0.3">
      <c r="A1" s="27" t="s">
        <v>79</v>
      </c>
    </row>
    <row r="3" spans="1:13" ht="30" x14ac:dyDescent="0.25">
      <c r="A3" s="5" t="s">
        <v>32</v>
      </c>
      <c r="B3" s="5">
        <v>0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18" t="s">
        <v>36</v>
      </c>
    </row>
    <row r="4" spans="1:13" x14ac:dyDescent="0.25">
      <c r="A4" t="s">
        <v>17</v>
      </c>
      <c r="B4" s="16"/>
      <c r="C4" s="16">
        <v>200</v>
      </c>
      <c r="D4" s="16">
        <v>200</v>
      </c>
      <c r="E4" s="16">
        <v>200</v>
      </c>
      <c r="F4" s="16">
        <v>200</v>
      </c>
      <c r="G4" s="16">
        <v>200</v>
      </c>
      <c r="H4" s="16">
        <v>200</v>
      </c>
      <c r="I4" s="16">
        <v>200</v>
      </c>
      <c r="J4" s="16">
        <v>200</v>
      </c>
      <c r="K4" s="16">
        <v>200</v>
      </c>
      <c r="L4" s="16">
        <v>200</v>
      </c>
      <c r="M4" s="16"/>
    </row>
    <row r="5" spans="1:13" x14ac:dyDescent="0.25">
      <c r="A5" t="s">
        <v>33</v>
      </c>
      <c r="B5" s="16"/>
      <c r="C5" s="16">
        <v>-80</v>
      </c>
      <c r="D5" s="16">
        <v>-80</v>
      </c>
      <c r="E5" s="16">
        <v>-80</v>
      </c>
      <c r="F5" s="16">
        <v>-80</v>
      </c>
      <c r="G5" s="16">
        <v>-80</v>
      </c>
      <c r="H5" s="16">
        <v>-80</v>
      </c>
      <c r="I5" s="16">
        <v>-80</v>
      </c>
      <c r="J5" s="16">
        <v>-80</v>
      </c>
      <c r="K5" s="16">
        <v>-80</v>
      </c>
      <c r="L5" s="16">
        <v>-80</v>
      </c>
      <c r="M5" s="16"/>
    </row>
    <row r="6" spans="1:13" x14ac:dyDescent="0.25">
      <c r="A6" t="s">
        <v>34</v>
      </c>
      <c r="B6" s="16">
        <v>-400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5">
      <c r="A7" s="2" t="s">
        <v>35</v>
      </c>
      <c r="B7" s="17">
        <f>SUM(B4:B6)</f>
        <v>-400</v>
      </c>
      <c r="C7" s="17">
        <f t="shared" ref="C7:L7" si="0">SUM(C4:C6)</f>
        <v>120</v>
      </c>
      <c r="D7" s="17">
        <f t="shared" si="0"/>
        <v>120</v>
      </c>
      <c r="E7" s="17">
        <f t="shared" si="0"/>
        <v>120</v>
      </c>
      <c r="F7" s="17">
        <f t="shared" si="0"/>
        <v>120</v>
      </c>
      <c r="G7" s="17">
        <f t="shared" si="0"/>
        <v>120</v>
      </c>
      <c r="H7" s="17">
        <f t="shared" si="0"/>
        <v>120</v>
      </c>
      <c r="I7" s="17">
        <f t="shared" si="0"/>
        <v>120</v>
      </c>
      <c r="J7" s="17">
        <f t="shared" si="0"/>
        <v>120</v>
      </c>
      <c r="K7" s="17">
        <f t="shared" si="0"/>
        <v>120</v>
      </c>
      <c r="L7" s="17">
        <f t="shared" si="0"/>
        <v>120</v>
      </c>
      <c r="M7" s="17">
        <f>L7*1.1/(0.2-0.1)</f>
        <v>1320</v>
      </c>
    </row>
    <row r="9" spans="1:13" x14ac:dyDescent="0.25">
      <c r="A9" s="2" t="s">
        <v>37</v>
      </c>
      <c r="B9" s="19">
        <v>0.28000000000000003</v>
      </c>
    </row>
    <row r="11" spans="1:13" x14ac:dyDescent="0.25">
      <c r="A11" s="2" t="s">
        <v>38</v>
      </c>
      <c r="B11" s="20">
        <f>NPV(B9,C7:M7)+B7</f>
        <v>79.620289231843969</v>
      </c>
    </row>
    <row r="13" spans="1:13" x14ac:dyDescent="0.25">
      <c r="A13" s="2" t="s">
        <v>39</v>
      </c>
      <c r="B13" s="21">
        <f>IRR(B7:M7)</f>
        <v>0.32996045518173145</v>
      </c>
    </row>
    <row r="16" spans="1:13" x14ac:dyDescent="0.25">
      <c r="A16" s="2"/>
    </row>
    <row r="20" spans="1:5" x14ac:dyDescent="0.25">
      <c r="B20">
        <v>0</v>
      </c>
      <c r="C20">
        <v>1</v>
      </c>
      <c r="D20">
        <v>2</v>
      </c>
      <c r="E20">
        <v>3</v>
      </c>
    </row>
    <row r="21" spans="1:5" x14ac:dyDescent="0.25">
      <c r="C21">
        <v>100</v>
      </c>
      <c r="D21">
        <v>800</v>
      </c>
      <c r="E21">
        <v>900</v>
      </c>
    </row>
    <row r="22" spans="1:5" x14ac:dyDescent="0.25">
      <c r="A22" s="60" t="s">
        <v>88</v>
      </c>
      <c r="B22" s="16">
        <f>NPV(0.1,C21:E21)+B21</f>
        <v>1428.2494365138991</v>
      </c>
    </row>
    <row r="23" spans="1:5" x14ac:dyDescent="0.25">
      <c r="A23" s="60" t="s">
        <v>89</v>
      </c>
      <c r="B23" s="61" t="e">
        <f>IRR(B21:F21)</f>
        <v>#NUM!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90" zoomScaleNormal="90" workbookViewId="0">
      <selection activeCell="E17" sqref="E17"/>
    </sheetView>
  </sheetViews>
  <sheetFormatPr defaultRowHeight="15" x14ac:dyDescent="0.25"/>
  <cols>
    <col min="1" max="1" width="14.85546875" customWidth="1"/>
    <col min="2" max="7" width="15.28515625" customWidth="1"/>
  </cols>
  <sheetData>
    <row r="1" spans="1:7" ht="18.75" x14ac:dyDescent="0.3">
      <c r="A1" s="27" t="s">
        <v>64</v>
      </c>
    </row>
    <row r="2" spans="1:7" ht="15.75" x14ac:dyDescent="0.25">
      <c r="A2" s="28"/>
      <c r="B2" s="30" t="s">
        <v>59</v>
      </c>
      <c r="C2" s="30" t="s">
        <v>60</v>
      </c>
      <c r="D2" s="30" t="s">
        <v>61</v>
      </c>
      <c r="E2" s="30" t="s">
        <v>62</v>
      </c>
      <c r="F2" s="30" t="s">
        <v>63</v>
      </c>
      <c r="G2" s="28"/>
    </row>
    <row r="3" spans="1:7" ht="15.75" x14ac:dyDescent="0.25">
      <c r="A3" s="26" t="s">
        <v>58</v>
      </c>
      <c r="B3" s="31">
        <v>1000</v>
      </c>
      <c r="C3" s="31">
        <v>1200</v>
      </c>
      <c r="D3" s="31">
        <v>1400</v>
      </c>
      <c r="E3" s="31">
        <v>1600</v>
      </c>
      <c r="F3" s="31">
        <v>1800</v>
      </c>
      <c r="G3" s="28"/>
    </row>
    <row r="4" spans="1:7" ht="15.75" x14ac:dyDescent="0.25">
      <c r="A4" s="28"/>
      <c r="B4" s="28"/>
      <c r="C4" s="29">
        <f>C3/B3-1</f>
        <v>0.19999999999999996</v>
      </c>
      <c r="D4" s="29">
        <f>D3/C3-1</f>
        <v>0.16666666666666674</v>
      </c>
      <c r="E4" s="29">
        <f>E3/D3-1</f>
        <v>0.14285714285714279</v>
      </c>
      <c r="F4" s="29">
        <f>F3/E3-1</f>
        <v>0.125</v>
      </c>
      <c r="G4" s="28"/>
    </row>
    <row r="5" spans="1:7" ht="15.75" x14ac:dyDescent="0.25">
      <c r="A5" s="28"/>
      <c r="B5" s="28"/>
      <c r="C5" s="28"/>
      <c r="D5" s="28"/>
      <c r="E5" s="28"/>
      <c r="F5" s="28"/>
      <c r="G5" s="28"/>
    </row>
    <row r="6" spans="1:7" ht="15.75" x14ac:dyDescent="0.25">
      <c r="A6" s="28"/>
      <c r="B6" s="28"/>
      <c r="C6" s="28"/>
      <c r="D6" s="28"/>
      <c r="E6" s="32" t="s">
        <v>65</v>
      </c>
      <c r="F6" s="33">
        <f>AVERAGE(C4:F4)</f>
        <v>0.15863095238095237</v>
      </c>
    </row>
    <row r="7" spans="1:7" ht="15.75" x14ac:dyDescent="0.25">
      <c r="A7" s="28"/>
      <c r="B7" s="28"/>
      <c r="C7" s="28"/>
      <c r="D7" s="28"/>
      <c r="E7" s="32" t="s">
        <v>66</v>
      </c>
      <c r="F7" s="33">
        <f>(F3/B3)^(1/4)-1</f>
        <v>0.15829218528826905</v>
      </c>
    </row>
    <row r="8" spans="1:7" ht="15.75" x14ac:dyDescent="0.25">
      <c r="A8" s="28"/>
      <c r="B8" s="28"/>
      <c r="C8" s="28"/>
      <c r="D8" s="28"/>
      <c r="E8" s="32"/>
      <c r="F8" s="33"/>
    </row>
    <row r="9" spans="1:7" ht="15.75" x14ac:dyDescent="0.25">
      <c r="A9" s="28"/>
      <c r="B9" s="30" t="s">
        <v>67</v>
      </c>
      <c r="C9" s="30" t="s">
        <v>68</v>
      </c>
      <c r="D9" s="30" t="s">
        <v>68</v>
      </c>
      <c r="E9" s="30" t="s">
        <v>68</v>
      </c>
      <c r="F9" s="30" t="s">
        <v>68</v>
      </c>
      <c r="G9" s="28"/>
    </row>
    <row r="10" spans="1:7" x14ac:dyDescent="0.25">
      <c r="A10" t="s">
        <v>69</v>
      </c>
      <c r="B10" s="16">
        <v>1000</v>
      </c>
      <c r="C10" s="16">
        <f>B10*(1+$F$6)</f>
        <v>1158.6309523809523</v>
      </c>
      <c r="D10" s="16">
        <f t="shared" ref="D10:F10" si="0">C10*(1+$F$6)</f>
        <v>1342.4256838151925</v>
      </c>
      <c r="E10" s="16">
        <f t="shared" si="0"/>
        <v>1555.3759485394478</v>
      </c>
      <c r="F10" s="16">
        <f t="shared" si="0"/>
        <v>1802.1067165666875</v>
      </c>
    </row>
    <row r="11" spans="1:7" x14ac:dyDescent="0.25">
      <c r="A11" t="s">
        <v>70</v>
      </c>
      <c r="B11" s="16">
        <v>1000</v>
      </c>
      <c r="C11" s="16">
        <f>B11*(1+$F$7)</f>
        <v>1158.2921852882691</v>
      </c>
      <c r="D11" s="16">
        <f t="shared" ref="D11:F11" si="1">C11*(1+$F$7)</f>
        <v>1341.6407864998739</v>
      </c>
      <c r="E11" s="16">
        <f t="shared" si="1"/>
        <v>1554.012038466811</v>
      </c>
      <c r="F11" s="16">
        <f t="shared" si="1"/>
        <v>1800</v>
      </c>
    </row>
  </sheetData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pane xSplit="2" ySplit="2" topLeftCell="I3" activePane="bottomRight" state="frozen"/>
      <selection pane="topRight" activeCell="C1" sqref="C1"/>
      <selection pane="bottomLeft" activeCell="A4" sqref="A4"/>
      <selection pane="bottomRight" activeCell="I8" sqref="I8"/>
    </sheetView>
  </sheetViews>
  <sheetFormatPr defaultRowHeight="15" x14ac:dyDescent="0.25"/>
  <cols>
    <col min="1" max="1" width="34.7109375" customWidth="1"/>
    <col min="2" max="2" width="12.85546875" style="7" customWidth="1"/>
    <col min="3" max="5" width="11.85546875" customWidth="1"/>
    <col min="6" max="6" width="11.42578125" customWidth="1"/>
    <col min="7" max="7" width="11.140625" customWidth="1"/>
    <col min="8" max="17" width="14" customWidth="1"/>
  </cols>
  <sheetData>
    <row r="1" spans="1:17" ht="21" x14ac:dyDescent="0.35">
      <c r="A1" s="50" t="s">
        <v>72</v>
      </c>
      <c r="B1" s="51"/>
      <c r="C1" s="59" t="s">
        <v>5</v>
      </c>
      <c r="D1" s="58"/>
      <c r="E1" s="58"/>
      <c r="F1" s="58"/>
      <c r="G1" s="45" t="s">
        <v>6</v>
      </c>
      <c r="H1" s="45"/>
      <c r="I1" s="46"/>
      <c r="J1" s="46"/>
      <c r="K1" s="46"/>
      <c r="L1" s="46"/>
      <c r="M1" s="46"/>
      <c r="N1" s="46"/>
      <c r="O1" s="46"/>
      <c r="P1" s="46"/>
      <c r="Q1" s="46"/>
    </row>
    <row r="2" spans="1:17" x14ac:dyDescent="0.25">
      <c r="C2" s="58"/>
      <c r="D2" s="58"/>
      <c r="E2" s="58"/>
      <c r="F2" s="58"/>
      <c r="G2" s="47">
        <v>0</v>
      </c>
      <c r="H2" s="47">
        <v>1</v>
      </c>
      <c r="I2" s="47">
        <v>2</v>
      </c>
      <c r="J2" s="47">
        <v>3</v>
      </c>
      <c r="K2" s="47">
        <v>4</v>
      </c>
      <c r="L2" s="47">
        <v>5</v>
      </c>
      <c r="M2" s="47">
        <v>6</v>
      </c>
      <c r="N2" s="47">
        <v>7</v>
      </c>
      <c r="O2" s="47">
        <v>8</v>
      </c>
      <c r="P2" s="47">
        <v>9</v>
      </c>
      <c r="Q2" s="47">
        <v>10</v>
      </c>
    </row>
    <row r="3" spans="1:17" x14ac:dyDescent="0.25">
      <c r="A3" s="35" t="s">
        <v>1</v>
      </c>
      <c r="B3" s="36" t="s">
        <v>16</v>
      </c>
      <c r="C3" s="5">
        <v>2013</v>
      </c>
      <c r="D3" s="5">
        <v>2014</v>
      </c>
      <c r="E3" s="5">
        <v>2015</v>
      </c>
      <c r="F3" s="2" t="s">
        <v>21</v>
      </c>
      <c r="G3" s="5">
        <v>2016</v>
      </c>
      <c r="H3" s="5">
        <v>2017</v>
      </c>
      <c r="I3" s="5">
        <v>2018</v>
      </c>
      <c r="J3" s="5">
        <v>2019</v>
      </c>
      <c r="K3" s="5">
        <v>2020</v>
      </c>
      <c r="L3" s="5">
        <v>2021</v>
      </c>
      <c r="M3" s="5">
        <v>2022</v>
      </c>
      <c r="N3" s="5">
        <v>2023</v>
      </c>
      <c r="O3" s="5">
        <v>2024</v>
      </c>
      <c r="P3" s="5">
        <v>2025</v>
      </c>
      <c r="Q3" s="5">
        <v>2026</v>
      </c>
    </row>
    <row r="4" spans="1:17" x14ac:dyDescent="0.25">
      <c r="A4" s="1" t="s">
        <v>2</v>
      </c>
      <c r="B4" s="7" t="s">
        <v>20</v>
      </c>
      <c r="C4" s="9">
        <v>3</v>
      </c>
      <c r="D4" s="9">
        <v>3.0449999999999999</v>
      </c>
      <c r="E4" s="9">
        <v>3.0906749999999996</v>
      </c>
      <c r="F4" s="10">
        <f>(E4/C4)^(1/2)-1</f>
        <v>1.4999999999999902E-2</v>
      </c>
      <c r="G4" s="9">
        <f>E4*(1+G7)</f>
        <v>3.1370351249999993</v>
      </c>
      <c r="H4" s="9">
        <f>G4*(1+H$7)</f>
        <v>3.1840906518749987</v>
      </c>
      <c r="I4" s="9">
        <f t="shared" ref="I4:P4" si="0">H4*(1+I$7)</f>
        <v>3.2318520116531233</v>
      </c>
      <c r="J4" s="9">
        <f t="shared" si="0"/>
        <v>3.2803297918279197</v>
      </c>
      <c r="K4" s="9">
        <f t="shared" si="0"/>
        <v>3.329534738705338</v>
      </c>
      <c r="L4" s="9">
        <f t="shared" si="0"/>
        <v>3.3794777597859178</v>
      </c>
      <c r="M4" s="9">
        <f t="shared" si="0"/>
        <v>3.4301699261827063</v>
      </c>
      <c r="N4" s="9">
        <f t="shared" si="0"/>
        <v>3.4816224750754468</v>
      </c>
      <c r="O4" s="9">
        <f t="shared" si="0"/>
        <v>3.533846812201578</v>
      </c>
      <c r="P4" s="9">
        <f t="shared" si="0"/>
        <v>3.5868545143846013</v>
      </c>
      <c r="Q4" s="9">
        <f t="shared" ref="Q4" si="1">P4*(1+Q$7)</f>
        <v>3.6406573321003699</v>
      </c>
    </row>
    <row r="5" spans="1:17" x14ac:dyDescent="0.25">
      <c r="A5" s="1" t="s">
        <v>3</v>
      </c>
      <c r="B5" s="7" t="s">
        <v>20</v>
      </c>
      <c r="C5" s="9">
        <v>12</v>
      </c>
      <c r="D5" s="9">
        <v>12.18</v>
      </c>
      <c r="E5" s="9">
        <v>12.362699999999998</v>
      </c>
      <c r="F5" s="10">
        <f>(E5/C5)^(1/2)-1</f>
        <v>1.4999999999999902E-2</v>
      </c>
      <c r="G5" s="9">
        <f>E5*(1+G7)</f>
        <v>12.548140499999997</v>
      </c>
      <c r="H5" s="9">
        <f>G5*(1+H$7)</f>
        <v>12.736362607499995</v>
      </c>
      <c r="I5" s="9">
        <f t="shared" ref="I5:P5" si="2">H5*(1+I$7)</f>
        <v>12.927408046612493</v>
      </c>
      <c r="J5" s="9">
        <f t="shared" si="2"/>
        <v>13.121319167311679</v>
      </c>
      <c r="K5" s="9">
        <f t="shared" si="2"/>
        <v>13.318138954821352</v>
      </c>
      <c r="L5" s="9">
        <f t="shared" si="2"/>
        <v>13.517911039143671</v>
      </c>
      <c r="M5" s="9">
        <f t="shared" si="2"/>
        <v>13.720679704730825</v>
      </c>
      <c r="N5" s="9">
        <f t="shared" si="2"/>
        <v>13.926489900301787</v>
      </c>
      <c r="O5" s="9">
        <f t="shared" si="2"/>
        <v>14.135387248806312</v>
      </c>
      <c r="P5" s="9">
        <f t="shared" si="2"/>
        <v>14.347418057538405</v>
      </c>
      <c r="Q5" s="9">
        <f t="shared" ref="Q5" si="3">P5*(1+Q$7)</f>
        <v>14.56262932840148</v>
      </c>
    </row>
    <row r="6" spans="1:17" x14ac:dyDescent="0.25">
      <c r="A6" s="40" t="s">
        <v>8</v>
      </c>
      <c r="B6" s="7" t="s">
        <v>20</v>
      </c>
      <c r="C6" s="11">
        <f>SUM(C4:C5)</f>
        <v>15</v>
      </c>
      <c r="D6" s="11">
        <f t="shared" ref="D6:E6" si="4">SUM(D4:D5)</f>
        <v>15.225</v>
      </c>
      <c r="E6" s="11">
        <f t="shared" si="4"/>
        <v>15.453374999999998</v>
      </c>
      <c r="G6" s="11">
        <f t="shared" ref="G6" si="5">SUM(G4:G5)</f>
        <v>15.685175624999996</v>
      </c>
      <c r="H6" s="11">
        <f t="shared" ref="H6" si="6">SUM(H4:H5)</f>
        <v>15.920453259374995</v>
      </c>
      <c r="I6" s="11">
        <f t="shared" ref="I6" si="7">SUM(I4:I5)</f>
        <v>16.159260058265616</v>
      </c>
      <c r="J6" s="11">
        <f t="shared" ref="J6" si="8">SUM(J4:J5)</f>
        <v>16.4016489591396</v>
      </c>
      <c r="K6" s="11">
        <f t="shared" ref="K6" si="9">SUM(K4:K5)</f>
        <v>16.647673693526691</v>
      </c>
      <c r="L6" s="11">
        <f t="shared" ref="L6" si="10">SUM(L4:L5)</f>
        <v>16.89738879892959</v>
      </c>
      <c r="M6" s="11">
        <f t="shared" ref="M6" si="11">SUM(M4:M5)</f>
        <v>17.15084963091353</v>
      </c>
      <c r="N6" s="11">
        <f t="shared" ref="N6" si="12">SUM(N4:N5)</f>
        <v>17.408112375377232</v>
      </c>
      <c r="O6" s="11">
        <f t="shared" ref="O6" si="13">SUM(O4:O5)</f>
        <v>17.669234061007892</v>
      </c>
      <c r="P6" s="11">
        <f t="shared" ref="P6" si="14">SUM(P4:P5)</f>
        <v>17.934272571923007</v>
      </c>
      <c r="Q6" s="11">
        <f t="shared" ref="Q6" si="15">SUM(Q4:Q5)</f>
        <v>18.203286660501849</v>
      </c>
    </row>
    <row r="7" spans="1:17" x14ac:dyDescent="0.25">
      <c r="A7" s="3" t="s">
        <v>4</v>
      </c>
      <c r="C7" s="3"/>
      <c r="D7" s="3"/>
      <c r="E7" s="3"/>
      <c r="F7" s="4"/>
      <c r="G7" s="4">
        <f>F4</f>
        <v>1.4999999999999902E-2</v>
      </c>
      <c r="H7" s="4">
        <f t="shared" ref="H7:Q7" si="16">G7</f>
        <v>1.4999999999999902E-2</v>
      </c>
      <c r="I7" s="4">
        <f t="shared" si="16"/>
        <v>1.4999999999999902E-2</v>
      </c>
      <c r="J7" s="4">
        <f t="shared" si="16"/>
        <v>1.4999999999999902E-2</v>
      </c>
      <c r="K7" s="4">
        <f t="shared" si="16"/>
        <v>1.4999999999999902E-2</v>
      </c>
      <c r="L7" s="4">
        <f t="shared" si="16"/>
        <v>1.4999999999999902E-2</v>
      </c>
      <c r="M7" s="4">
        <f t="shared" si="16"/>
        <v>1.4999999999999902E-2</v>
      </c>
      <c r="N7" s="4">
        <f t="shared" si="16"/>
        <v>1.4999999999999902E-2</v>
      </c>
      <c r="O7" s="4">
        <f t="shared" si="16"/>
        <v>1.4999999999999902E-2</v>
      </c>
      <c r="P7" s="4">
        <f t="shared" si="16"/>
        <v>1.4999999999999902E-2</v>
      </c>
      <c r="Q7" s="4">
        <f t="shared" si="16"/>
        <v>1.4999999999999902E-2</v>
      </c>
    </row>
    <row r="9" spans="1:17" x14ac:dyDescent="0.25">
      <c r="A9" s="35" t="s">
        <v>23</v>
      </c>
      <c r="B9" s="37"/>
    </row>
    <row r="10" spans="1:17" x14ac:dyDescent="0.25">
      <c r="A10" s="6" t="s">
        <v>30</v>
      </c>
      <c r="B10" s="7" t="s">
        <v>22</v>
      </c>
      <c r="H10" s="12">
        <v>0.2</v>
      </c>
      <c r="I10" s="12">
        <f>H10</f>
        <v>0.2</v>
      </c>
      <c r="J10" s="12">
        <f t="shared" ref="J10:Q10" si="17">I10</f>
        <v>0.2</v>
      </c>
      <c r="K10" s="12">
        <f t="shared" si="17"/>
        <v>0.2</v>
      </c>
      <c r="L10" s="12">
        <f t="shared" si="17"/>
        <v>0.2</v>
      </c>
      <c r="M10" s="12">
        <f t="shared" si="17"/>
        <v>0.2</v>
      </c>
      <c r="N10" s="12">
        <f t="shared" si="17"/>
        <v>0.2</v>
      </c>
      <c r="O10" s="12">
        <f t="shared" si="17"/>
        <v>0.2</v>
      </c>
      <c r="P10" s="12">
        <f t="shared" si="17"/>
        <v>0.2</v>
      </c>
      <c r="Q10" s="12">
        <f t="shared" si="17"/>
        <v>0.2</v>
      </c>
    </row>
    <row r="11" spans="1:17" x14ac:dyDescent="0.25">
      <c r="A11" s="6"/>
      <c r="B11" s="7" t="s">
        <v>20</v>
      </c>
      <c r="H11" s="11">
        <f t="shared" ref="H11:Q11" si="18">H10*H6</f>
        <v>3.1840906518749992</v>
      </c>
      <c r="I11" s="11">
        <f t="shared" si="18"/>
        <v>3.2318520116531233</v>
      </c>
      <c r="J11" s="11">
        <f t="shared" si="18"/>
        <v>3.2803297918279202</v>
      </c>
      <c r="K11" s="11">
        <f t="shared" si="18"/>
        <v>3.3295347387053384</v>
      </c>
      <c r="L11" s="11">
        <f t="shared" si="18"/>
        <v>3.3794777597859182</v>
      </c>
      <c r="M11" s="11">
        <f t="shared" si="18"/>
        <v>3.4301699261827063</v>
      </c>
      <c r="N11" s="11">
        <f t="shared" si="18"/>
        <v>3.4816224750754468</v>
      </c>
      <c r="O11" s="11">
        <f t="shared" si="18"/>
        <v>3.5338468122015785</v>
      </c>
      <c r="P11" s="11">
        <f t="shared" si="18"/>
        <v>3.5868545143846013</v>
      </c>
      <c r="Q11" s="11">
        <f t="shared" si="18"/>
        <v>3.6406573321003699</v>
      </c>
    </row>
    <row r="13" spans="1:17" x14ac:dyDescent="0.25">
      <c r="A13" s="35" t="s">
        <v>0</v>
      </c>
      <c r="B13" s="37"/>
    </row>
    <row r="14" spans="1:17" x14ac:dyDescent="0.25">
      <c r="A14" s="6" t="s">
        <v>31</v>
      </c>
      <c r="B14" s="7" t="s">
        <v>22</v>
      </c>
      <c r="H14" s="12">
        <v>0.05</v>
      </c>
      <c r="I14" s="12">
        <f>H14</f>
        <v>0.05</v>
      </c>
      <c r="J14" s="12">
        <f t="shared" ref="J14:Q14" si="19">I14</f>
        <v>0.05</v>
      </c>
      <c r="K14" s="12">
        <f t="shared" si="19"/>
        <v>0.05</v>
      </c>
      <c r="L14" s="12">
        <f t="shared" si="19"/>
        <v>0.05</v>
      </c>
      <c r="M14" s="12">
        <f t="shared" si="19"/>
        <v>0.05</v>
      </c>
      <c r="N14" s="12">
        <f t="shared" si="19"/>
        <v>0.05</v>
      </c>
      <c r="O14" s="12">
        <f t="shared" si="19"/>
        <v>0.05</v>
      </c>
      <c r="P14" s="12">
        <f t="shared" si="19"/>
        <v>0.05</v>
      </c>
      <c r="Q14" s="12">
        <f t="shared" si="19"/>
        <v>0.05</v>
      </c>
    </row>
    <row r="15" spans="1:17" x14ac:dyDescent="0.25">
      <c r="B15" s="7" t="s">
        <v>20</v>
      </c>
      <c r="H15" s="11">
        <f>H11*H14</f>
        <v>0.15920453259374998</v>
      </c>
      <c r="I15" s="11">
        <f t="shared" ref="I15:Q15" si="20">I11*I14</f>
        <v>0.16159260058265618</v>
      </c>
      <c r="J15" s="11">
        <f t="shared" si="20"/>
        <v>0.16401648959139603</v>
      </c>
      <c r="K15" s="11">
        <f t="shared" si="20"/>
        <v>0.16647673693526693</v>
      </c>
      <c r="L15" s="11">
        <f t="shared" si="20"/>
        <v>0.16897388798929591</v>
      </c>
      <c r="M15" s="11">
        <f t="shared" si="20"/>
        <v>0.17150849630913534</v>
      </c>
      <c r="N15" s="11">
        <f t="shared" si="20"/>
        <v>0.17408112375377235</v>
      </c>
      <c r="O15" s="11">
        <f t="shared" si="20"/>
        <v>0.17669234061007894</v>
      </c>
      <c r="P15" s="11">
        <f t="shared" si="20"/>
        <v>0.17934272571923007</v>
      </c>
      <c r="Q15" s="11">
        <f t="shared" si="20"/>
        <v>0.1820328666050185</v>
      </c>
    </row>
    <row r="17" spans="1:17" x14ac:dyDescent="0.25">
      <c r="A17" s="40" t="s">
        <v>9</v>
      </c>
      <c r="B17" s="7" t="s">
        <v>25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</row>
    <row r="18" spans="1:17" x14ac:dyDescent="0.25">
      <c r="A18" s="40" t="s">
        <v>24</v>
      </c>
      <c r="B18" s="7" t="s">
        <v>26</v>
      </c>
      <c r="H18" s="11">
        <f>H15*H17</f>
        <v>0.15920453259374998</v>
      </c>
      <c r="I18" s="11">
        <f t="shared" ref="I18:Q18" si="21">I15*I17</f>
        <v>0.16159260058265618</v>
      </c>
      <c r="J18" s="11">
        <f t="shared" si="21"/>
        <v>0.16401648959139603</v>
      </c>
      <c r="K18" s="11">
        <f t="shared" si="21"/>
        <v>0.16647673693526693</v>
      </c>
      <c r="L18" s="11">
        <f t="shared" si="21"/>
        <v>0.16897388798929591</v>
      </c>
      <c r="M18" s="11">
        <f t="shared" si="21"/>
        <v>0.17150849630913534</v>
      </c>
      <c r="N18" s="11">
        <f t="shared" si="21"/>
        <v>0.17408112375377235</v>
      </c>
      <c r="O18" s="11">
        <f t="shared" si="21"/>
        <v>0.17669234061007894</v>
      </c>
      <c r="P18" s="11">
        <f t="shared" si="21"/>
        <v>0.17934272571923007</v>
      </c>
      <c r="Q18" s="11">
        <f t="shared" si="21"/>
        <v>0.1820328666050185</v>
      </c>
    </row>
    <row r="20" spans="1:17" x14ac:dyDescent="0.25">
      <c r="A20" s="35" t="s">
        <v>10</v>
      </c>
      <c r="B20" s="38"/>
    </row>
    <row r="21" spans="1:17" x14ac:dyDescent="0.25">
      <c r="A21" s="6" t="s">
        <v>11</v>
      </c>
      <c r="B21" s="7" t="s">
        <v>15</v>
      </c>
      <c r="H21" s="12">
        <v>0.5</v>
      </c>
      <c r="I21" s="4">
        <f>H21-2%</f>
        <v>0.48</v>
      </c>
      <c r="J21" s="4">
        <f t="shared" ref="J21:Q21" si="22">I21-2%</f>
        <v>0.45999999999999996</v>
      </c>
      <c r="K21" s="4">
        <f t="shared" si="22"/>
        <v>0.43999999999999995</v>
      </c>
      <c r="L21" s="4">
        <f t="shared" si="22"/>
        <v>0.41999999999999993</v>
      </c>
      <c r="M21" s="4">
        <f t="shared" si="22"/>
        <v>0.39999999999999991</v>
      </c>
      <c r="N21" s="4">
        <f t="shared" si="22"/>
        <v>0.37999999999999989</v>
      </c>
      <c r="O21" s="4">
        <f t="shared" si="22"/>
        <v>0.35999999999999988</v>
      </c>
      <c r="P21" s="4">
        <f t="shared" si="22"/>
        <v>0.33999999999999986</v>
      </c>
      <c r="Q21" s="4">
        <f t="shared" si="22"/>
        <v>0.31999999999999984</v>
      </c>
    </row>
    <row r="22" spans="1:17" x14ac:dyDescent="0.25">
      <c r="A22" s="6" t="s">
        <v>12</v>
      </c>
      <c r="B22" s="7" t="s">
        <v>15</v>
      </c>
      <c r="H22" s="12">
        <v>0.25</v>
      </c>
      <c r="I22" s="4">
        <f t="shared" ref="I22:Q22" si="23">H22-2%</f>
        <v>0.23</v>
      </c>
      <c r="J22" s="4">
        <f t="shared" si="23"/>
        <v>0.21000000000000002</v>
      </c>
      <c r="K22" s="4">
        <f t="shared" si="23"/>
        <v>0.19000000000000003</v>
      </c>
      <c r="L22" s="4">
        <f t="shared" si="23"/>
        <v>0.17000000000000004</v>
      </c>
      <c r="M22" s="4">
        <f t="shared" si="23"/>
        <v>0.15000000000000005</v>
      </c>
      <c r="N22" s="4">
        <f t="shared" si="23"/>
        <v>0.13000000000000006</v>
      </c>
      <c r="O22" s="4">
        <f t="shared" si="23"/>
        <v>0.11000000000000006</v>
      </c>
      <c r="P22" s="4">
        <f t="shared" si="23"/>
        <v>9.0000000000000052E-2</v>
      </c>
      <c r="Q22" s="4">
        <f t="shared" si="23"/>
        <v>7.0000000000000048E-2</v>
      </c>
    </row>
    <row r="23" spans="1:17" x14ac:dyDescent="0.25">
      <c r="A23" s="6" t="s">
        <v>13</v>
      </c>
      <c r="B23" s="7" t="s">
        <v>15</v>
      </c>
      <c r="H23" s="12">
        <v>0.2</v>
      </c>
      <c r="I23" s="4">
        <f t="shared" ref="I23:Q23" si="24">H23-2%</f>
        <v>0.18000000000000002</v>
      </c>
      <c r="J23" s="4">
        <f t="shared" si="24"/>
        <v>0.16000000000000003</v>
      </c>
      <c r="K23" s="4">
        <f t="shared" si="24"/>
        <v>0.14000000000000004</v>
      </c>
      <c r="L23" s="4">
        <f t="shared" si="24"/>
        <v>0.12000000000000004</v>
      </c>
      <c r="M23" s="4">
        <f t="shared" si="24"/>
        <v>0.10000000000000003</v>
      </c>
      <c r="N23" s="4">
        <f t="shared" si="24"/>
        <v>8.0000000000000029E-2</v>
      </c>
      <c r="O23" s="4">
        <f t="shared" si="24"/>
        <v>6.0000000000000026E-2</v>
      </c>
      <c r="P23" s="4">
        <f t="shared" si="24"/>
        <v>4.0000000000000022E-2</v>
      </c>
      <c r="Q23" s="4">
        <f t="shared" si="24"/>
        <v>2.0000000000000021E-2</v>
      </c>
    </row>
    <row r="24" spans="1:17" x14ac:dyDescent="0.25">
      <c r="A24" s="6" t="s">
        <v>14</v>
      </c>
      <c r="B24" s="7" t="s">
        <v>15</v>
      </c>
      <c r="H24" s="12">
        <f>1-SUM(H21:H23)</f>
        <v>5.0000000000000044E-2</v>
      </c>
      <c r="I24" s="12">
        <f t="shared" ref="I24:Q24" si="25">1-SUM(I21:I23)</f>
        <v>0.10999999999999999</v>
      </c>
      <c r="J24" s="12">
        <f t="shared" si="25"/>
        <v>0.17000000000000004</v>
      </c>
      <c r="K24" s="12">
        <f t="shared" si="25"/>
        <v>0.22999999999999998</v>
      </c>
      <c r="L24" s="12">
        <f t="shared" si="25"/>
        <v>0.29000000000000004</v>
      </c>
      <c r="M24" s="12">
        <f t="shared" si="25"/>
        <v>0.35000000000000009</v>
      </c>
      <c r="N24" s="12">
        <f t="shared" si="25"/>
        <v>0.40999999999999992</v>
      </c>
      <c r="O24" s="12">
        <f t="shared" si="25"/>
        <v>0.47000000000000008</v>
      </c>
      <c r="P24" s="12">
        <f t="shared" si="25"/>
        <v>0.53</v>
      </c>
      <c r="Q24" s="12">
        <f t="shared" si="25"/>
        <v>0.59000000000000008</v>
      </c>
    </row>
    <row r="26" spans="1:17" x14ac:dyDescent="0.25">
      <c r="A26" s="6" t="s">
        <v>11</v>
      </c>
      <c r="B26" s="7" t="s">
        <v>26</v>
      </c>
      <c r="H26" s="13">
        <f>H21*H$18</f>
        <v>7.9602266296874988E-2</v>
      </c>
      <c r="I26" s="13">
        <f t="shared" ref="I26:Q26" si="26">I21*I$18</f>
        <v>7.7564448279674958E-2</v>
      </c>
      <c r="J26" s="13">
        <f t="shared" si="26"/>
        <v>7.5447585212042173E-2</v>
      </c>
      <c r="K26" s="13">
        <f t="shared" si="26"/>
        <v>7.3249764251517441E-2</v>
      </c>
      <c r="L26" s="13">
        <f t="shared" si="26"/>
        <v>7.0969032955504274E-2</v>
      </c>
      <c r="M26" s="13">
        <f t="shared" si="26"/>
        <v>6.8603398523654116E-2</v>
      </c>
      <c r="N26" s="13">
        <f t="shared" si="26"/>
        <v>6.6150827026433476E-2</v>
      </c>
      <c r="O26" s="13">
        <f t="shared" si="26"/>
        <v>6.3609242619628401E-2</v>
      </c>
      <c r="P26" s="13">
        <f t="shared" si="26"/>
        <v>6.0976526744538198E-2</v>
      </c>
      <c r="Q26" s="13">
        <f t="shared" si="26"/>
        <v>5.8250517313605886E-2</v>
      </c>
    </row>
    <row r="27" spans="1:17" x14ac:dyDescent="0.25">
      <c r="A27" s="6" t="s">
        <v>12</v>
      </c>
      <c r="B27" s="7" t="s">
        <v>26</v>
      </c>
      <c r="H27" s="13">
        <f t="shared" ref="H27:Q29" si="27">H22*H$18</f>
        <v>3.9801133148437494E-2</v>
      </c>
      <c r="I27" s="13">
        <f t="shared" si="27"/>
        <v>3.7166298134010921E-2</v>
      </c>
      <c r="J27" s="13">
        <f t="shared" si="27"/>
        <v>3.4443462814193172E-2</v>
      </c>
      <c r="K27" s="13">
        <f t="shared" si="27"/>
        <v>3.1630580017700721E-2</v>
      </c>
      <c r="L27" s="13">
        <f t="shared" si="27"/>
        <v>2.8725560958180314E-2</v>
      </c>
      <c r="M27" s="13">
        <f t="shared" si="27"/>
        <v>2.5726274446370309E-2</v>
      </c>
      <c r="N27" s="13">
        <f t="shared" si="27"/>
        <v>2.2630546087990415E-2</v>
      </c>
      <c r="O27" s="13">
        <f t="shared" si="27"/>
        <v>1.9436157467108691E-2</v>
      </c>
      <c r="P27" s="13">
        <f t="shared" si="27"/>
        <v>1.6140845314730715E-2</v>
      </c>
      <c r="Q27" s="13">
        <f t="shared" si="27"/>
        <v>1.2742300662351304E-2</v>
      </c>
    </row>
    <row r="28" spans="1:17" x14ac:dyDescent="0.25">
      <c r="A28" s="6" t="s">
        <v>13</v>
      </c>
      <c r="B28" s="7" t="s">
        <v>26</v>
      </c>
      <c r="H28" s="13">
        <f t="shared" si="27"/>
        <v>3.1840906518749997E-2</v>
      </c>
      <c r="I28" s="13">
        <f t="shared" si="27"/>
        <v>2.9086668104878116E-2</v>
      </c>
      <c r="J28" s="13">
        <f t="shared" si="27"/>
        <v>2.6242638334623369E-2</v>
      </c>
      <c r="K28" s="13">
        <f t="shared" si="27"/>
        <v>2.3306743170937377E-2</v>
      </c>
      <c r="L28" s="13">
        <f t="shared" si="27"/>
        <v>2.0276866558715516E-2</v>
      </c>
      <c r="M28" s="13">
        <f t="shared" si="27"/>
        <v>1.7150849630913539E-2</v>
      </c>
      <c r="N28" s="13">
        <f t="shared" si="27"/>
        <v>1.3926489900301793E-2</v>
      </c>
      <c r="O28" s="13">
        <f t="shared" si="27"/>
        <v>1.060154043660474E-2</v>
      </c>
      <c r="P28" s="13">
        <f t="shared" si="27"/>
        <v>7.173709028769207E-3</v>
      </c>
      <c r="Q28" s="13">
        <f t="shared" si="27"/>
        <v>3.6406573321003739E-3</v>
      </c>
    </row>
    <row r="29" spans="1:17" x14ac:dyDescent="0.25">
      <c r="A29" s="6" t="s">
        <v>14</v>
      </c>
      <c r="B29" s="7" t="s">
        <v>26</v>
      </c>
      <c r="H29" s="13">
        <f t="shared" si="27"/>
        <v>7.9602266296875061E-3</v>
      </c>
      <c r="I29" s="13">
        <f t="shared" si="27"/>
        <v>1.7775186064092178E-2</v>
      </c>
      <c r="J29" s="13">
        <f t="shared" si="27"/>
        <v>2.7882803230537333E-2</v>
      </c>
      <c r="K29" s="13">
        <f t="shared" si="27"/>
        <v>3.8289649495111391E-2</v>
      </c>
      <c r="L29" s="13">
        <f t="shared" si="27"/>
        <v>4.9002427516895819E-2</v>
      </c>
      <c r="M29" s="13">
        <f t="shared" si="27"/>
        <v>6.0027973708197381E-2</v>
      </c>
      <c r="N29" s="13">
        <f t="shared" si="27"/>
        <v>7.1373260739046651E-2</v>
      </c>
      <c r="O29" s="13">
        <f t="shared" si="27"/>
        <v>8.3045400086737109E-2</v>
      </c>
      <c r="P29" s="13">
        <f t="shared" si="27"/>
        <v>9.5051644631191937E-2</v>
      </c>
      <c r="Q29" s="13">
        <f t="shared" si="27"/>
        <v>0.10739939129696092</v>
      </c>
    </row>
    <row r="31" spans="1:17" x14ac:dyDescent="0.25">
      <c r="A31" s="39" t="s">
        <v>17</v>
      </c>
      <c r="B31" s="38"/>
    </row>
    <row r="32" spans="1:17" x14ac:dyDescent="0.25">
      <c r="A32" s="6" t="s">
        <v>18</v>
      </c>
      <c r="B32" s="7" t="s">
        <v>16</v>
      </c>
      <c r="H32" s="15">
        <f>H29*1000000</f>
        <v>7960.2266296875059</v>
      </c>
      <c r="I32" s="15">
        <f t="shared" ref="I32:Q32" si="28">I29*1000000</f>
        <v>17775.186064092177</v>
      </c>
      <c r="J32" s="15">
        <f t="shared" si="28"/>
        <v>27882.803230537334</v>
      </c>
      <c r="K32" s="15">
        <f t="shared" si="28"/>
        <v>38289.649495111393</v>
      </c>
      <c r="L32" s="15">
        <f t="shared" si="28"/>
        <v>49002.427516895819</v>
      </c>
      <c r="M32" s="15">
        <f t="shared" si="28"/>
        <v>60027.97370819738</v>
      </c>
      <c r="N32" s="15">
        <f t="shared" si="28"/>
        <v>71373.260739046658</v>
      </c>
      <c r="O32" s="15">
        <f t="shared" si="28"/>
        <v>83045.400086737107</v>
      </c>
      <c r="P32" s="15">
        <f t="shared" si="28"/>
        <v>95051.644631191943</v>
      </c>
      <c r="Q32" s="15">
        <f t="shared" si="28"/>
        <v>107399.39129696092</v>
      </c>
    </row>
    <row r="33" spans="1:17" x14ac:dyDescent="0.25">
      <c r="A33" s="6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x14ac:dyDescent="0.25">
      <c r="A34" s="6" t="s">
        <v>19</v>
      </c>
      <c r="B34" s="7" t="s">
        <v>27</v>
      </c>
      <c r="H34" s="16">
        <v>10000</v>
      </c>
      <c r="I34" s="16">
        <f>H34*(1+I35)</f>
        <v>11000</v>
      </c>
      <c r="J34" s="16">
        <f t="shared" ref="J34:Q34" si="29">I34*(1+J35)</f>
        <v>12100.000000000002</v>
      </c>
      <c r="K34" s="16">
        <f t="shared" si="29"/>
        <v>13310.000000000004</v>
      </c>
      <c r="L34" s="16">
        <f t="shared" si="29"/>
        <v>14641.000000000005</v>
      </c>
      <c r="M34" s="16">
        <f t="shared" si="29"/>
        <v>16105.100000000008</v>
      </c>
      <c r="N34" s="16">
        <f t="shared" si="29"/>
        <v>17715.610000000011</v>
      </c>
      <c r="O34" s="16">
        <f t="shared" si="29"/>
        <v>19487.171000000013</v>
      </c>
      <c r="P34" s="16">
        <f t="shared" si="29"/>
        <v>21435.888100000015</v>
      </c>
      <c r="Q34" s="16">
        <f t="shared" si="29"/>
        <v>23579.476910000019</v>
      </c>
    </row>
    <row r="35" spans="1:17" x14ac:dyDescent="0.25">
      <c r="A35" s="6" t="s">
        <v>29</v>
      </c>
      <c r="B35" s="7" t="s">
        <v>15</v>
      </c>
      <c r="H35" s="16"/>
      <c r="I35" s="12">
        <v>0.1</v>
      </c>
      <c r="J35" s="12">
        <f>I35</f>
        <v>0.1</v>
      </c>
      <c r="K35" s="12">
        <f t="shared" ref="K35:Q35" si="30">J35</f>
        <v>0.1</v>
      </c>
      <c r="L35" s="12">
        <f t="shared" si="30"/>
        <v>0.1</v>
      </c>
      <c r="M35" s="12">
        <f t="shared" si="30"/>
        <v>0.1</v>
      </c>
      <c r="N35" s="12">
        <f t="shared" si="30"/>
        <v>0.1</v>
      </c>
      <c r="O35" s="12">
        <f t="shared" si="30"/>
        <v>0.1</v>
      </c>
      <c r="P35" s="12">
        <f t="shared" si="30"/>
        <v>0.1</v>
      </c>
      <c r="Q35" s="12">
        <f t="shared" si="30"/>
        <v>0.1</v>
      </c>
    </row>
    <row r="36" spans="1:17" x14ac:dyDescent="0.25">
      <c r="A36" s="6"/>
      <c r="H36" s="16"/>
    </row>
    <row r="37" spans="1:17" x14ac:dyDescent="0.25">
      <c r="A37" s="8" t="s">
        <v>17</v>
      </c>
      <c r="B37" s="14" t="s">
        <v>28</v>
      </c>
      <c r="C37" s="2"/>
      <c r="D37" s="2"/>
      <c r="E37" s="2"/>
      <c r="F37" s="2"/>
      <c r="G37" s="2"/>
      <c r="H37" s="17">
        <f>H32*H34</f>
        <v>79602266.29687506</v>
      </c>
      <c r="I37" s="17">
        <f t="shared" ref="I37:Q37" si="31">I32*I34</f>
        <v>195527046.70501393</v>
      </c>
      <c r="J37" s="17">
        <f t="shared" si="31"/>
        <v>337381919.0895018</v>
      </c>
      <c r="K37" s="17">
        <f t="shared" si="31"/>
        <v>509635234.7799328</v>
      </c>
      <c r="L37" s="17">
        <f t="shared" si="31"/>
        <v>717444541.27487195</v>
      </c>
      <c r="M37" s="17">
        <f t="shared" si="31"/>
        <v>966756519.36789012</v>
      </c>
      <c r="N37" s="17">
        <f t="shared" si="31"/>
        <v>1264420851.6812632</v>
      </c>
      <c r="O37" s="17">
        <f t="shared" si="31"/>
        <v>1618319912.2536619</v>
      </c>
      <c r="P37" s="17">
        <f t="shared" si="31"/>
        <v>2037516418.0351977</v>
      </c>
      <c r="Q37" s="17">
        <f t="shared" si="31"/>
        <v>2532421467.2347469</v>
      </c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C13" sqref="C13"/>
    </sheetView>
  </sheetViews>
  <sheetFormatPr defaultRowHeight="15" x14ac:dyDescent="0.25"/>
  <cols>
    <col min="1" max="1" width="35.7109375" customWidth="1"/>
    <col min="2" max="3" width="15.140625" customWidth="1"/>
    <col min="4" max="4" width="14.28515625" bestFit="1" customWidth="1"/>
    <col min="5" max="9" width="15.28515625" bestFit="1" customWidth="1"/>
    <col min="10" max="13" width="16.85546875" bestFit="1" customWidth="1"/>
  </cols>
  <sheetData>
    <row r="1" spans="1:13" ht="21" x14ac:dyDescent="0.35">
      <c r="A1" s="53" t="s">
        <v>71</v>
      </c>
      <c r="B1" s="53"/>
      <c r="C1" s="53"/>
    </row>
    <row r="3" spans="1:13" x14ac:dyDescent="0.25">
      <c r="B3" s="49" t="s">
        <v>16</v>
      </c>
      <c r="C3" s="45" t="s">
        <v>6</v>
      </c>
      <c r="D3" s="45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5">
      <c r="B4" s="43"/>
      <c r="C4" s="47">
        <v>0</v>
      </c>
      <c r="D4" s="47">
        <v>1</v>
      </c>
      <c r="E4" s="47">
        <v>2</v>
      </c>
      <c r="F4" s="47">
        <v>3</v>
      </c>
      <c r="G4" s="47">
        <v>4</v>
      </c>
      <c r="H4" s="47">
        <v>5</v>
      </c>
      <c r="I4" s="47">
        <v>6</v>
      </c>
      <c r="J4" s="47">
        <v>7</v>
      </c>
      <c r="K4" s="47">
        <v>8</v>
      </c>
      <c r="L4" s="47">
        <v>9</v>
      </c>
      <c r="M4" s="47">
        <v>10</v>
      </c>
    </row>
    <row r="5" spans="1:13" x14ac:dyDescent="0.25">
      <c r="A5" s="35" t="s">
        <v>17</v>
      </c>
      <c r="B5" s="7" t="s">
        <v>28</v>
      </c>
      <c r="C5" s="7"/>
      <c r="D5" s="16">
        <f>Revenue!H37</f>
        <v>79602266.29687506</v>
      </c>
      <c r="E5" s="16">
        <f>Revenue!I37</f>
        <v>195527046.70501393</v>
      </c>
      <c r="F5" s="16">
        <f>Revenue!J37</f>
        <v>337381919.0895018</v>
      </c>
      <c r="G5" s="16">
        <f>Revenue!K37</f>
        <v>509635234.7799328</v>
      </c>
      <c r="H5" s="16">
        <f>Revenue!L37</f>
        <v>717444541.27487195</v>
      </c>
      <c r="I5" s="16">
        <f>Revenue!M37</f>
        <v>966756519.36789012</v>
      </c>
      <c r="J5" s="16">
        <f>Revenue!N37</f>
        <v>1264420851.6812632</v>
      </c>
      <c r="K5" s="16">
        <f>Revenue!O37</f>
        <v>1618319912.2536619</v>
      </c>
      <c r="L5" s="16">
        <f>Revenue!P37</f>
        <v>2037516418.0351977</v>
      </c>
      <c r="M5" s="16">
        <f>Revenue!Q37</f>
        <v>2532421467.2347469</v>
      </c>
    </row>
    <row r="6" spans="1:13" x14ac:dyDescent="0.25">
      <c r="B6" s="24"/>
      <c r="C6" s="24"/>
    </row>
    <row r="7" spans="1:13" x14ac:dyDescent="0.25">
      <c r="B7" s="24"/>
      <c r="C7" s="24"/>
    </row>
    <row r="8" spans="1:13" x14ac:dyDescent="0.25">
      <c r="A8" s="42" t="s">
        <v>84</v>
      </c>
      <c r="B8" s="24"/>
      <c r="C8" s="24"/>
    </row>
    <row r="9" spans="1:13" x14ac:dyDescent="0.25">
      <c r="A9" s="8" t="s">
        <v>45</v>
      </c>
      <c r="B9" s="23" t="s">
        <v>74</v>
      </c>
      <c r="C9" s="48">
        <v>0.25</v>
      </c>
      <c r="D9" s="48">
        <v>0.25</v>
      </c>
      <c r="E9" s="12">
        <v>0.5</v>
      </c>
      <c r="F9" s="12">
        <f t="shared" ref="F9:M9" si="0">E9</f>
        <v>0.5</v>
      </c>
      <c r="G9" s="12">
        <f t="shared" si="0"/>
        <v>0.5</v>
      </c>
      <c r="H9" s="12">
        <f t="shared" si="0"/>
        <v>0.5</v>
      </c>
      <c r="I9" s="12">
        <f t="shared" si="0"/>
        <v>0.5</v>
      </c>
      <c r="J9" s="12">
        <f t="shared" si="0"/>
        <v>0.5</v>
      </c>
      <c r="K9" s="12">
        <f t="shared" si="0"/>
        <v>0.5</v>
      </c>
      <c r="L9" s="12">
        <f t="shared" si="0"/>
        <v>0.5</v>
      </c>
      <c r="M9" s="12">
        <f t="shared" si="0"/>
        <v>0.5</v>
      </c>
    </row>
    <row r="10" spans="1:13" x14ac:dyDescent="0.25">
      <c r="A10" s="6"/>
      <c r="B10" s="7" t="s">
        <v>28</v>
      </c>
      <c r="C10" s="57">
        <f>0.25*D5</f>
        <v>19900566.574218765</v>
      </c>
      <c r="D10" s="15">
        <f>D$5*D9</f>
        <v>19900566.574218765</v>
      </c>
      <c r="E10" s="15">
        <f t="shared" ref="E10:M10" si="1">E$5*E9</f>
        <v>97763523.352506965</v>
      </c>
      <c r="F10" s="15">
        <f t="shared" si="1"/>
        <v>168690959.5447509</v>
      </c>
      <c r="G10" s="15">
        <f t="shared" si="1"/>
        <v>254817617.3899664</v>
      </c>
      <c r="H10" s="15">
        <f t="shared" si="1"/>
        <v>358722270.63743597</v>
      </c>
      <c r="I10" s="15">
        <f t="shared" si="1"/>
        <v>483378259.68394506</v>
      </c>
      <c r="J10" s="15">
        <f t="shared" si="1"/>
        <v>632210425.8406316</v>
      </c>
      <c r="K10" s="15">
        <f t="shared" si="1"/>
        <v>809159956.12683094</v>
      </c>
      <c r="L10" s="15">
        <f t="shared" si="1"/>
        <v>1018758209.0175989</v>
      </c>
      <c r="M10" s="15">
        <f t="shared" si="1"/>
        <v>1266210733.6173735</v>
      </c>
    </row>
    <row r="11" spans="1:13" x14ac:dyDescent="0.25">
      <c r="A11" s="6"/>
      <c r="B11" s="24"/>
      <c r="C11" s="24"/>
    </row>
    <row r="12" spans="1:13" x14ac:dyDescent="0.25">
      <c r="A12" s="8" t="s">
        <v>46</v>
      </c>
      <c r="B12" s="23" t="s">
        <v>74</v>
      </c>
      <c r="C12" s="23"/>
      <c r="D12" s="12">
        <v>0.1</v>
      </c>
      <c r="E12" s="12">
        <f>D12</f>
        <v>0.1</v>
      </c>
      <c r="F12" s="12">
        <f t="shared" ref="F12:M12" si="2">E12</f>
        <v>0.1</v>
      </c>
      <c r="G12" s="12">
        <f t="shared" si="2"/>
        <v>0.1</v>
      </c>
      <c r="H12" s="12">
        <f t="shared" si="2"/>
        <v>0.1</v>
      </c>
      <c r="I12" s="12">
        <f t="shared" si="2"/>
        <v>0.1</v>
      </c>
      <c r="J12" s="12">
        <f t="shared" si="2"/>
        <v>0.1</v>
      </c>
      <c r="K12" s="12">
        <f t="shared" si="2"/>
        <v>0.1</v>
      </c>
      <c r="L12" s="12">
        <f t="shared" si="2"/>
        <v>0.1</v>
      </c>
      <c r="M12" s="12">
        <f t="shared" si="2"/>
        <v>0.1</v>
      </c>
    </row>
    <row r="13" spans="1:13" x14ac:dyDescent="0.25">
      <c r="A13" s="6"/>
      <c r="B13" s="7" t="s">
        <v>28</v>
      </c>
      <c r="C13" s="7"/>
      <c r="D13" s="15">
        <f>D$5*D12</f>
        <v>7960226.6296875067</v>
      </c>
      <c r="E13" s="15">
        <f t="shared" ref="E13:M13" si="3">E$5*E12</f>
        <v>19552704.670501392</v>
      </c>
      <c r="F13" s="15">
        <f t="shared" si="3"/>
        <v>33738191.90895018</v>
      </c>
      <c r="G13" s="15">
        <f t="shared" si="3"/>
        <v>50963523.47799328</v>
      </c>
      <c r="H13" s="15">
        <f t="shared" si="3"/>
        <v>71744454.127487198</v>
      </c>
      <c r="I13" s="15">
        <f t="shared" si="3"/>
        <v>96675651.936789021</v>
      </c>
      <c r="J13" s="15">
        <f t="shared" si="3"/>
        <v>126442085.16812633</v>
      </c>
      <c r="K13" s="15">
        <f t="shared" si="3"/>
        <v>161831991.2253662</v>
      </c>
      <c r="L13" s="15">
        <f t="shared" si="3"/>
        <v>203751641.80351979</v>
      </c>
      <c r="M13" s="15">
        <f t="shared" si="3"/>
        <v>253242146.72347471</v>
      </c>
    </row>
    <row r="14" spans="1:13" x14ac:dyDescent="0.25">
      <c r="A14" s="6"/>
      <c r="B14" s="24"/>
      <c r="C14" s="24"/>
    </row>
    <row r="15" spans="1:13" x14ac:dyDescent="0.25">
      <c r="A15" s="8" t="s">
        <v>75</v>
      </c>
      <c r="B15" s="23" t="s">
        <v>74</v>
      </c>
      <c r="C15" s="23"/>
      <c r="D15" s="12">
        <v>0.05</v>
      </c>
      <c r="E15" s="12">
        <f>D15</f>
        <v>0.05</v>
      </c>
      <c r="F15" s="12">
        <f t="shared" ref="F15:M15" si="4">E15</f>
        <v>0.05</v>
      </c>
      <c r="G15" s="12">
        <f t="shared" si="4"/>
        <v>0.05</v>
      </c>
      <c r="H15" s="12">
        <f t="shared" si="4"/>
        <v>0.05</v>
      </c>
      <c r="I15" s="12">
        <f t="shared" si="4"/>
        <v>0.05</v>
      </c>
      <c r="J15" s="12">
        <f t="shared" si="4"/>
        <v>0.05</v>
      </c>
      <c r="K15" s="12">
        <f t="shared" si="4"/>
        <v>0.05</v>
      </c>
      <c r="L15" s="12">
        <f t="shared" si="4"/>
        <v>0.05</v>
      </c>
      <c r="M15" s="12">
        <f t="shared" si="4"/>
        <v>0.05</v>
      </c>
    </row>
    <row r="16" spans="1:13" x14ac:dyDescent="0.25">
      <c r="B16" s="7" t="s">
        <v>28</v>
      </c>
      <c r="C16" s="7"/>
      <c r="D16" s="15">
        <f>D$5*D15</f>
        <v>3980113.3148437534</v>
      </c>
      <c r="E16" s="15">
        <f t="shared" ref="E16:M16" si="5">E$5*E15</f>
        <v>9776352.3352506962</v>
      </c>
      <c r="F16" s="15">
        <f t="shared" si="5"/>
        <v>16869095.95447509</v>
      </c>
      <c r="G16" s="15">
        <f t="shared" si="5"/>
        <v>25481761.73899664</v>
      </c>
      <c r="H16" s="15">
        <f t="shared" si="5"/>
        <v>35872227.063743599</v>
      </c>
      <c r="I16" s="15">
        <f t="shared" si="5"/>
        <v>48337825.96839451</v>
      </c>
      <c r="J16" s="15">
        <f t="shared" si="5"/>
        <v>63221042.584063165</v>
      </c>
      <c r="K16" s="15">
        <f t="shared" si="5"/>
        <v>80915995.612683102</v>
      </c>
      <c r="L16" s="15">
        <f t="shared" si="5"/>
        <v>101875820.90175989</v>
      </c>
      <c r="M16" s="15">
        <f t="shared" si="5"/>
        <v>126621073.36173736</v>
      </c>
    </row>
    <row r="17" spans="1:13" x14ac:dyDescent="0.25">
      <c r="B17" s="24"/>
      <c r="C17" s="24"/>
    </row>
    <row r="18" spans="1:13" x14ac:dyDescent="0.25">
      <c r="A18" s="42" t="s">
        <v>73</v>
      </c>
      <c r="B18" s="14" t="s">
        <v>28</v>
      </c>
      <c r="C18" s="20">
        <f>C10+C13+C16</f>
        <v>19900566.574218765</v>
      </c>
      <c r="D18" s="20">
        <f>D10+D13+D16</f>
        <v>31840906.518750027</v>
      </c>
      <c r="E18" s="20">
        <f t="shared" ref="E18:M18" si="6">E10+E13+E16</f>
        <v>127092580.35825905</v>
      </c>
      <c r="F18" s="20">
        <f t="shared" si="6"/>
        <v>219298247.40817618</v>
      </c>
      <c r="G18" s="20">
        <f t="shared" si="6"/>
        <v>331262902.6069563</v>
      </c>
      <c r="H18" s="20">
        <f t="shared" si="6"/>
        <v>466338951.82866675</v>
      </c>
      <c r="I18" s="20">
        <f t="shared" si="6"/>
        <v>628391737.58912861</v>
      </c>
      <c r="J18" s="20">
        <f t="shared" si="6"/>
        <v>821873553.59282112</v>
      </c>
      <c r="K18" s="20">
        <f t="shared" si="6"/>
        <v>1051907942.9648802</v>
      </c>
      <c r="L18" s="20">
        <f t="shared" si="6"/>
        <v>1324385671.7228785</v>
      </c>
      <c r="M18" s="20">
        <f t="shared" si="6"/>
        <v>1646073953.7025855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D13" sqref="D13"/>
    </sheetView>
  </sheetViews>
  <sheetFormatPr defaultRowHeight="15" x14ac:dyDescent="0.25"/>
  <cols>
    <col min="1" max="1" width="35.7109375" customWidth="1"/>
    <col min="2" max="3" width="15.140625" customWidth="1"/>
    <col min="4" max="4" width="14.28515625" bestFit="1" customWidth="1"/>
    <col min="5" max="9" width="15.28515625" bestFit="1" customWidth="1"/>
    <col min="10" max="13" width="16.85546875" bestFit="1" customWidth="1"/>
  </cols>
  <sheetData>
    <row r="1" spans="1:13" ht="21" x14ac:dyDescent="0.35">
      <c r="A1" s="52" t="s">
        <v>76</v>
      </c>
      <c r="B1" s="52"/>
      <c r="C1" s="52"/>
    </row>
    <row r="3" spans="1:13" x14ac:dyDescent="0.25">
      <c r="B3" s="54" t="s">
        <v>16</v>
      </c>
      <c r="C3" s="45" t="s">
        <v>6</v>
      </c>
      <c r="D3" s="45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5">
      <c r="B4" s="44"/>
      <c r="C4" s="47">
        <v>0</v>
      </c>
      <c r="D4" s="47">
        <v>1</v>
      </c>
      <c r="E4" s="47">
        <v>2</v>
      </c>
      <c r="F4" s="47">
        <v>3</v>
      </c>
      <c r="G4" s="47">
        <v>4</v>
      </c>
      <c r="H4" s="47">
        <v>5</v>
      </c>
      <c r="I4" s="47">
        <v>6</v>
      </c>
      <c r="J4" s="47">
        <v>7</v>
      </c>
      <c r="K4" s="47">
        <v>8</v>
      </c>
      <c r="L4" s="47">
        <v>9</v>
      </c>
      <c r="M4" s="47">
        <v>10</v>
      </c>
    </row>
    <row r="5" spans="1:13" x14ac:dyDescent="0.25">
      <c r="A5" s="2" t="s">
        <v>17</v>
      </c>
      <c r="B5" s="7" t="s">
        <v>28</v>
      </c>
      <c r="C5" s="7"/>
      <c r="D5" s="16">
        <f>Revenue!H37</f>
        <v>79602266.29687506</v>
      </c>
      <c r="E5" s="16">
        <f>Revenue!I37</f>
        <v>195527046.70501393</v>
      </c>
      <c r="F5" s="16">
        <f>Revenue!J37</f>
        <v>337381919.0895018</v>
      </c>
      <c r="G5" s="16">
        <f>Revenue!K37</f>
        <v>509635234.7799328</v>
      </c>
      <c r="H5" s="16">
        <f>Revenue!L37</f>
        <v>717444541.27487195</v>
      </c>
      <c r="I5" s="16">
        <f>Revenue!M37</f>
        <v>966756519.36789012</v>
      </c>
      <c r="J5" s="16">
        <f>Revenue!N37</f>
        <v>1264420851.6812632</v>
      </c>
      <c r="K5" s="16">
        <f>Revenue!O37</f>
        <v>1618319912.2536619</v>
      </c>
      <c r="L5" s="16">
        <f>Revenue!P37</f>
        <v>2037516418.0351977</v>
      </c>
      <c r="M5" s="16">
        <f>Revenue!Q37</f>
        <v>2532421467.2347469</v>
      </c>
    </row>
    <row r="6" spans="1:13" x14ac:dyDescent="0.25">
      <c r="B6" s="24"/>
      <c r="C6" s="24"/>
    </row>
    <row r="7" spans="1:13" x14ac:dyDescent="0.25">
      <c r="B7" s="24"/>
      <c r="C7" s="24"/>
    </row>
    <row r="8" spans="1:13" x14ac:dyDescent="0.25">
      <c r="A8" s="2" t="s">
        <v>43</v>
      </c>
      <c r="B8" s="23" t="s">
        <v>74</v>
      </c>
      <c r="C8" s="48">
        <v>0.1</v>
      </c>
      <c r="D8" s="12">
        <f>C8</f>
        <v>0.1</v>
      </c>
      <c r="E8" s="12">
        <f t="shared" ref="E8:L8" si="0">D8</f>
        <v>0.1</v>
      </c>
      <c r="F8" s="12">
        <f t="shared" si="0"/>
        <v>0.1</v>
      </c>
      <c r="G8" s="12">
        <f t="shared" si="0"/>
        <v>0.1</v>
      </c>
      <c r="H8" s="12">
        <f t="shared" si="0"/>
        <v>0.1</v>
      </c>
      <c r="I8" s="12">
        <f t="shared" si="0"/>
        <v>0.1</v>
      </c>
      <c r="J8" s="12">
        <f t="shared" si="0"/>
        <v>0.1</v>
      </c>
      <c r="K8" s="12">
        <f t="shared" si="0"/>
        <v>0.1</v>
      </c>
      <c r="L8" s="12">
        <f t="shared" si="0"/>
        <v>0.1</v>
      </c>
      <c r="M8" s="12">
        <f t="shared" ref="M8" si="1">L8</f>
        <v>0.1</v>
      </c>
    </row>
    <row r="9" spans="1:13" x14ac:dyDescent="0.25">
      <c r="B9" s="7" t="s">
        <v>28</v>
      </c>
      <c r="C9" s="15">
        <f>D$5*C8</f>
        <v>7960226.6296875067</v>
      </c>
      <c r="D9" s="15">
        <f>D$5*D8</f>
        <v>7960226.6296875067</v>
      </c>
      <c r="E9" s="15">
        <f t="shared" ref="E9:M9" si="2">E$5*E8</f>
        <v>19552704.670501392</v>
      </c>
      <c r="F9" s="15">
        <f t="shared" si="2"/>
        <v>33738191.90895018</v>
      </c>
      <c r="G9" s="15">
        <f t="shared" si="2"/>
        <v>50963523.47799328</v>
      </c>
      <c r="H9" s="15">
        <f t="shared" si="2"/>
        <v>71744454.127487198</v>
      </c>
      <c r="I9" s="15">
        <f t="shared" si="2"/>
        <v>96675651.936789021</v>
      </c>
      <c r="J9" s="15">
        <f t="shared" si="2"/>
        <v>126442085.16812633</v>
      </c>
      <c r="K9" s="15">
        <f t="shared" si="2"/>
        <v>161831991.2253662</v>
      </c>
      <c r="L9" s="15">
        <f t="shared" si="2"/>
        <v>203751641.80351979</v>
      </c>
      <c r="M9" s="15">
        <f t="shared" si="2"/>
        <v>253242146.72347471</v>
      </c>
    </row>
    <row r="10" spans="1:13" x14ac:dyDescent="0.25">
      <c r="B10" s="24"/>
    </row>
    <row r="11" spans="1:13" x14ac:dyDescent="0.25">
      <c r="A11" s="2" t="s">
        <v>44</v>
      </c>
      <c r="B11" s="23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3" x14ac:dyDescent="0.25">
      <c r="A12" s="55" t="s">
        <v>83</v>
      </c>
      <c r="B12" s="7" t="s">
        <v>28</v>
      </c>
      <c r="C12" s="15">
        <v>250000000</v>
      </c>
      <c r="D12" s="12"/>
      <c r="E12" s="12"/>
      <c r="F12" s="12"/>
      <c r="G12" s="15">
        <v>250000000</v>
      </c>
      <c r="H12" s="12"/>
      <c r="I12" s="12"/>
      <c r="J12" s="12"/>
      <c r="K12" s="12"/>
      <c r="L12" s="12"/>
    </row>
    <row r="13" spans="1:13" x14ac:dyDescent="0.25">
      <c r="A13" s="55" t="s">
        <v>80</v>
      </c>
      <c r="B13" s="7" t="s">
        <v>28</v>
      </c>
      <c r="C13" s="15">
        <v>100000000</v>
      </c>
      <c r="D13" s="12"/>
      <c r="E13" s="12"/>
      <c r="F13" s="12"/>
      <c r="G13" s="15">
        <v>100000000</v>
      </c>
      <c r="H13" s="12"/>
      <c r="I13" s="12"/>
      <c r="J13" s="12"/>
      <c r="K13" s="12"/>
      <c r="L13" s="12"/>
    </row>
    <row r="14" spans="1:13" x14ac:dyDescent="0.25">
      <c r="A14" s="55" t="s">
        <v>81</v>
      </c>
      <c r="B14" s="7" t="s">
        <v>28</v>
      </c>
      <c r="C14" s="15">
        <v>50000000</v>
      </c>
      <c r="D14" s="12"/>
      <c r="E14" s="12"/>
      <c r="F14" s="12"/>
      <c r="G14" s="15">
        <v>50000000</v>
      </c>
      <c r="H14" s="12"/>
      <c r="I14" s="12"/>
      <c r="J14" s="12"/>
      <c r="K14" s="12"/>
      <c r="L14" s="12"/>
    </row>
    <row r="15" spans="1:13" x14ac:dyDescent="0.25">
      <c r="A15" s="55" t="s">
        <v>82</v>
      </c>
      <c r="B15" s="7" t="s">
        <v>28</v>
      </c>
      <c r="C15" s="15">
        <v>15000000</v>
      </c>
      <c r="D15" s="12"/>
      <c r="E15" s="12"/>
      <c r="F15" s="12"/>
      <c r="G15" s="15">
        <v>15000000</v>
      </c>
      <c r="H15" s="12"/>
      <c r="I15" s="12"/>
      <c r="J15" s="12"/>
      <c r="K15" s="12"/>
      <c r="L15" s="12"/>
    </row>
    <row r="16" spans="1:13" x14ac:dyDescent="0.25">
      <c r="A16" s="40" t="s">
        <v>78</v>
      </c>
      <c r="B16" s="14" t="s">
        <v>28</v>
      </c>
      <c r="C16" s="20">
        <f>SUM(C12:C15)</f>
        <v>415000000</v>
      </c>
      <c r="D16" s="20">
        <f t="shared" ref="D16:M16" si="3">SUM(D12:D15)</f>
        <v>0</v>
      </c>
      <c r="E16" s="20">
        <f t="shared" si="3"/>
        <v>0</v>
      </c>
      <c r="F16" s="20">
        <f t="shared" si="3"/>
        <v>0</v>
      </c>
      <c r="G16" s="20">
        <f t="shared" si="3"/>
        <v>415000000</v>
      </c>
      <c r="H16" s="20">
        <f t="shared" si="3"/>
        <v>0</v>
      </c>
      <c r="I16" s="20">
        <f t="shared" si="3"/>
        <v>0</v>
      </c>
      <c r="J16" s="20">
        <f t="shared" si="3"/>
        <v>0</v>
      </c>
      <c r="K16" s="20">
        <f t="shared" si="3"/>
        <v>0</v>
      </c>
      <c r="L16" s="20">
        <f t="shared" si="3"/>
        <v>0</v>
      </c>
      <c r="M16" s="20">
        <f t="shared" si="3"/>
        <v>0</v>
      </c>
    </row>
    <row r="17" spans="1:13" x14ac:dyDescent="0.25">
      <c r="B17" s="24"/>
      <c r="C17" s="2"/>
    </row>
    <row r="18" spans="1:13" x14ac:dyDescent="0.25">
      <c r="B18" s="24"/>
    </row>
    <row r="19" spans="1:13" x14ac:dyDescent="0.25">
      <c r="A19" s="34" t="s">
        <v>77</v>
      </c>
      <c r="B19" s="14" t="s">
        <v>28</v>
      </c>
      <c r="C19" s="20">
        <f>C9+C16</f>
        <v>422960226.62968749</v>
      </c>
      <c r="D19" s="20">
        <f t="shared" ref="D19:M19" si="4">D9+D16</f>
        <v>7960226.6296875067</v>
      </c>
      <c r="E19" s="20">
        <f t="shared" si="4"/>
        <v>19552704.670501392</v>
      </c>
      <c r="F19" s="20">
        <f t="shared" si="4"/>
        <v>33738191.90895018</v>
      </c>
      <c r="G19" s="20">
        <f t="shared" si="4"/>
        <v>465963523.47799325</v>
      </c>
      <c r="H19" s="20">
        <f t="shared" si="4"/>
        <v>71744454.127487198</v>
      </c>
      <c r="I19" s="20">
        <f t="shared" si="4"/>
        <v>96675651.936789021</v>
      </c>
      <c r="J19" s="20">
        <f t="shared" si="4"/>
        <v>126442085.16812633</v>
      </c>
      <c r="K19" s="20">
        <f t="shared" si="4"/>
        <v>161831991.2253662</v>
      </c>
      <c r="L19" s="20">
        <f t="shared" si="4"/>
        <v>203751641.80351979</v>
      </c>
      <c r="M19" s="20">
        <f t="shared" si="4"/>
        <v>253242146.72347471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0" zoomScaleNormal="80" workbookViewId="0">
      <selection activeCell="B29" sqref="B29"/>
    </sheetView>
  </sheetViews>
  <sheetFormatPr defaultRowHeight="15" x14ac:dyDescent="0.25"/>
  <cols>
    <col min="1" max="1" width="37.42578125" customWidth="1"/>
    <col min="2" max="2" width="12.42578125" customWidth="1"/>
    <col min="4" max="9" width="9.28515625" bestFit="1" customWidth="1"/>
    <col min="10" max="10" width="10.140625" bestFit="1" customWidth="1"/>
    <col min="11" max="11" width="11" customWidth="1"/>
    <col min="12" max="13" width="10.85546875" bestFit="1" customWidth="1"/>
    <col min="14" max="14" width="9.5703125" bestFit="1" customWidth="1"/>
  </cols>
  <sheetData>
    <row r="1" spans="1:14" ht="21" x14ac:dyDescent="0.35">
      <c r="A1" s="22" t="s">
        <v>47</v>
      </c>
      <c r="B1" s="22"/>
    </row>
    <row r="2" spans="1:14" x14ac:dyDescent="0.25">
      <c r="C2" s="2" t="s">
        <v>7</v>
      </c>
    </row>
    <row r="3" spans="1:14" x14ac:dyDescent="0.25">
      <c r="A3" s="5" t="s">
        <v>42</v>
      </c>
      <c r="B3" s="5" t="s">
        <v>16</v>
      </c>
      <c r="C3" s="5">
        <v>0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 t="s">
        <v>85</v>
      </c>
    </row>
    <row r="4" spans="1:14" x14ac:dyDescent="0.25">
      <c r="N4" s="5" t="s">
        <v>86</v>
      </c>
    </row>
    <row r="5" spans="1:14" x14ac:dyDescent="0.25">
      <c r="A5" s="35" t="s">
        <v>17</v>
      </c>
      <c r="B5" s="5" t="s">
        <v>48</v>
      </c>
      <c r="C5" s="56">
        <f>Revenue!G37/1000000</f>
        <v>0</v>
      </c>
      <c r="D5" s="56">
        <f>Revenue!H37/1000000</f>
        <v>79.602266296875058</v>
      </c>
      <c r="E5" s="56">
        <f>Revenue!I37/1000000</f>
        <v>195.52704670501393</v>
      </c>
      <c r="F5" s="56">
        <f>Revenue!J37/1000000</f>
        <v>337.38191908950182</v>
      </c>
      <c r="G5" s="56">
        <f>Revenue!K37/1000000</f>
        <v>509.63523477993277</v>
      </c>
      <c r="H5" s="56">
        <f>Revenue!L37/1000000</f>
        <v>717.44454127487199</v>
      </c>
      <c r="I5" s="56">
        <f>Revenue!M37/1000000</f>
        <v>966.75651936789006</v>
      </c>
      <c r="J5" s="56">
        <f>Revenue!N37/1000000</f>
        <v>1264.4208516812632</v>
      </c>
      <c r="K5" s="56">
        <f>Revenue!O37/1000000</f>
        <v>1618.3199122536619</v>
      </c>
      <c r="L5" s="56">
        <f>Revenue!P37/1000000</f>
        <v>2037.5164180351978</v>
      </c>
      <c r="M5" s="56">
        <f>Revenue!Q37/1000000</f>
        <v>2532.4214672347471</v>
      </c>
      <c r="N5" s="17"/>
    </row>
    <row r="6" spans="1:14" x14ac:dyDescent="0.25"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x14ac:dyDescent="0.25">
      <c r="A7" s="42" t="s">
        <v>40</v>
      </c>
      <c r="B7" s="2"/>
      <c r="C7" s="56">
        <f>SUM(C8:C10)</f>
        <v>-19.900566574218765</v>
      </c>
      <c r="D7" s="56">
        <f>SUM(D8:D10)</f>
        <v>-31.840906518750025</v>
      </c>
      <c r="E7" s="56">
        <f t="shared" ref="E7:M7" si="0">SUM(E8:E10)</f>
        <v>-127.09258035825906</v>
      </c>
      <c r="F7" s="56">
        <f t="shared" si="0"/>
        <v>-219.29824740817617</v>
      </c>
      <c r="G7" s="56">
        <f t="shared" si="0"/>
        <v>-331.26290260695629</v>
      </c>
      <c r="H7" s="56">
        <f t="shared" si="0"/>
        <v>-466.33895182866678</v>
      </c>
      <c r="I7" s="56">
        <f t="shared" si="0"/>
        <v>-628.39173758912864</v>
      </c>
      <c r="J7" s="56">
        <f t="shared" si="0"/>
        <v>-821.87355359282117</v>
      </c>
      <c r="K7" s="56">
        <f t="shared" si="0"/>
        <v>-1051.9079429648802</v>
      </c>
      <c r="L7" s="56">
        <f t="shared" si="0"/>
        <v>-1324.3856717228787</v>
      </c>
      <c r="M7" s="56">
        <f t="shared" si="0"/>
        <v>-1646.0739537025856</v>
      </c>
    </row>
    <row r="8" spans="1:14" x14ac:dyDescent="0.25">
      <c r="A8" s="6" t="s">
        <v>45</v>
      </c>
      <c r="B8" s="23" t="s">
        <v>48</v>
      </c>
      <c r="C8" s="9">
        <f>-Opex!C10/1000000</f>
        <v>-19.900566574218765</v>
      </c>
      <c r="D8" s="9">
        <f>-Opex!D10/1000000</f>
        <v>-19.900566574218765</v>
      </c>
      <c r="E8" s="9">
        <f>-Opex!E10/1000000</f>
        <v>-97.763523352506965</v>
      </c>
      <c r="F8" s="9">
        <f>-Opex!F10/1000000</f>
        <v>-168.69095954475091</v>
      </c>
      <c r="G8" s="9">
        <f>-Opex!G10/1000000</f>
        <v>-254.81761738996639</v>
      </c>
      <c r="H8" s="9">
        <f>-Opex!H10/1000000</f>
        <v>-358.722270637436</v>
      </c>
      <c r="I8" s="9">
        <f>-Opex!I10/1000000</f>
        <v>-483.37825968394503</v>
      </c>
      <c r="J8" s="9">
        <f>-Opex!J10/1000000</f>
        <v>-632.21042584063161</v>
      </c>
      <c r="K8" s="9">
        <f>-Opex!K10/1000000</f>
        <v>-809.15995612683093</v>
      </c>
      <c r="L8" s="9">
        <f>-Opex!L10/1000000</f>
        <v>-1018.7582090175989</v>
      </c>
      <c r="M8" s="9">
        <f>-Opex!M10/1000000</f>
        <v>-1266.2107336173735</v>
      </c>
    </row>
    <row r="9" spans="1:14" x14ac:dyDescent="0.25">
      <c r="A9" s="55" t="s">
        <v>46</v>
      </c>
      <c r="B9" s="23" t="s">
        <v>48</v>
      </c>
      <c r="C9" s="9">
        <f>-Opex!C13/1000000</f>
        <v>0</v>
      </c>
      <c r="D9" s="9">
        <f>-Opex!D13/1000000</f>
        <v>-7.960226629687507</v>
      </c>
      <c r="E9" s="9">
        <f>-Opex!E13/1000000</f>
        <v>-19.552704670501392</v>
      </c>
      <c r="F9" s="9">
        <f>-Opex!F13/1000000</f>
        <v>-33.738191908950178</v>
      </c>
      <c r="G9" s="9">
        <f>-Opex!G13/1000000</f>
        <v>-50.963523477993277</v>
      </c>
      <c r="H9" s="9">
        <f>-Opex!H13/1000000</f>
        <v>-71.744454127487202</v>
      </c>
      <c r="I9" s="9">
        <f>-Opex!I13/1000000</f>
        <v>-96.675651936789023</v>
      </c>
      <c r="J9" s="9">
        <f>-Opex!J13/1000000</f>
        <v>-126.44208516812633</v>
      </c>
      <c r="K9" s="9">
        <f>-Opex!K13/1000000</f>
        <v>-161.83199122536621</v>
      </c>
      <c r="L9" s="9">
        <f>-Opex!L13/1000000</f>
        <v>-203.75164180351979</v>
      </c>
      <c r="M9" s="9">
        <f>-Opex!M13/1000000</f>
        <v>-253.24214672347472</v>
      </c>
    </row>
    <row r="10" spans="1:14" x14ac:dyDescent="0.25">
      <c r="A10" s="55" t="s">
        <v>75</v>
      </c>
      <c r="B10" s="23" t="s">
        <v>48</v>
      </c>
      <c r="C10" s="9">
        <f>-Opex!C16/1000000</f>
        <v>0</v>
      </c>
      <c r="D10" s="9">
        <f>-Opex!D16/1000000</f>
        <v>-3.9801133148437535</v>
      </c>
      <c r="E10" s="9">
        <f>-Opex!E16/1000000</f>
        <v>-9.7763523352506958</v>
      </c>
      <c r="F10" s="9">
        <f>-Opex!F16/1000000</f>
        <v>-16.869095954475089</v>
      </c>
      <c r="G10" s="9">
        <f>-Opex!G16/1000000</f>
        <v>-25.481761738996639</v>
      </c>
      <c r="H10" s="9">
        <f>-Opex!H16/1000000</f>
        <v>-35.872227063743601</v>
      </c>
      <c r="I10" s="9">
        <f>-Opex!I16/1000000</f>
        <v>-48.337825968394512</v>
      </c>
      <c r="J10" s="9">
        <f>-Opex!J16/1000000</f>
        <v>-63.221042584063163</v>
      </c>
      <c r="K10" s="9">
        <f>-Opex!K16/1000000</f>
        <v>-80.915995612683105</v>
      </c>
      <c r="L10" s="9">
        <f>-Opex!L16/1000000</f>
        <v>-101.87582090175989</v>
      </c>
      <c r="M10" s="9">
        <f>-Opex!M16/1000000</f>
        <v>-126.62107336173736</v>
      </c>
    </row>
    <row r="11" spans="1:14" x14ac:dyDescent="0.25"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 x14ac:dyDescent="0.25">
      <c r="A12" s="34" t="s">
        <v>41</v>
      </c>
      <c r="B12" s="5" t="s">
        <v>48</v>
      </c>
      <c r="C12" s="56">
        <f>SUM(C13:C14)</f>
        <v>-422.9602266296875</v>
      </c>
      <c r="D12" s="56">
        <f>SUM(D13:D14)</f>
        <v>-7.960226629687507</v>
      </c>
      <c r="E12" s="56">
        <f t="shared" ref="E12:M12" si="1">SUM(E13:E14)</f>
        <v>-19.552704670501392</v>
      </c>
      <c r="F12" s="56">
        <f t="shared" si="1"/>
        <v>-33.738191908950178</v>
      </c>
      <c r="G12" s="56">
        <f t="shared" si="1"/>
        <v>-465.96352347799325</v>
      </c>
      <c r="H12" s="56">
        <f t="shared" si="1"/>
        <v>-71.744454127487202</v>
      </c>
      <c r="I12" s="56">
        <f t="shared" si="1"/>
        <v>-96.675651936789023</v>
      </c>
      <c r="J12" s="56">
        <f t="shared" si="1"/>
        <v>-126.44208516812633</v>
      </c>
      <c r="K12" s="56">
        <f t="shared" si="1"/>
        <v>-161.83199122536621</v>
      </c>
      <c r="L12" s="56">
        <f t="shared" si="1"/>
        <v>-203.75164180351979</v>
      </c>
      <c r="M12" s="56">
        <f t="shared" si="1"/>
        <v>-253.24214672347472</v>
      </c>
    </row>
    <row r="13" spans="1:14" x14ac:dyDescent="0.25">
      <c r="A13" s="6" t="s">
        <v>43</v>
      </c>
      <c r="B13" s="23" t="s">
        <v>48</v>
      </c>
      <c r="C13" s="9">
        <f>-Capex!C9/1000000</f>
        <v>-7.960226629687507</v>
      </c>
      <c r="D13" s="9">
        <f>-Capex!D9/1000000</f>
        <v>-7.960226629687507</v>
      </c>
      <c r="E13" s="9">
        <f>-Capex!E9/1000000</f>
        <v>-19.552704670501392</v>
      </c>
      <c r="F13" s="9">
        <f>-Capex!F9/1000000</f>
        <v>-33.738191908950178</v>
      </c>
      <c r="G13" s="9">
        <f>-Capex!G9/1000000</f>
        <v>-50.963523477993277</v>
      </c>
      <c r="H13" s="9">
        <f>-Capex!H9/1000000</f>
        <v>-71.744454127487202</v>
      </c>
      <c r="I13" s="9">
        <f>-Capex!I9/1000000</f>
        <v>-96.675651936789023</v>
      </c>
      <c r="J13" s="9">
        <f>-Capex!J9/1000000</f>
        <v>-126.44208516812633</v>
      </c>
      <c r="K13" s="9">
        <f>-Capex!K9/1000000</f>
        <v>-161.83199122536621</v>
      </c>
      <c r="L13" s="9">
        <f>-Capex!L9/1000000</f>
        <v>-203.75164180351979</v>
      </c>
      <c r="M13" s="9">
        <f>-Capex!M9/1000000</f>
        <v>-253.24214672347472</v>
      </c>
    </row>
    <row r="14" spans="1:14" x14ac:dyDescent="0.25">
      <c r="A14" s="6" t="s">
        <v>44</v>
      </c>
      <c r="B14" s="23" t="s">
        <v>48</v>
      </c>
      <c r="C14" s="9">
        <f>-Capex!C16/1000000</f>
        <v>-415</v>
      </c>
      <c r="D14" s="9">
        <f>-Capex!D16/1000000</f>
        <v>0</v>
      </c>
      <c r="E14" s="9">
        <f>-Capex!E16/1000000</f>
        <v>0</v>
      </c>
      <c r="F14" s="9">
        <f>-Capex!F16/1000000</f>
        <v>0</v>
      </c>
      <c r="G14" s="9">
        <f>-Capex!G16/1000000</f>
        <v>-415</v>
      </c>
      <c r="H14" s="9">
        <f>-Capex!H16/1000000</f>
        <v>0</v>
      </c>
      <c r="I14" s="9">
        <f>-Capex!I16/1000000</f>
        <v>0</v>
      </c>
      <c r="J14" s="9">
        <f>-Capex!J16/1000000</f>
        <v>0</v>
      </c>
      <c r="K14" s="9">
        <f>-Capex!K16/1000000</f>
        <v>0</v>
      </c>
      <c r="L14" s="9">
        <f>-Capex!L16/1000000</f>
        <v>0</v>
      </c>
      <c r="M14" s="9">
        <f>-Capex!M16/1000000</f>
        <v>0</v>
      </c>
    </row>
    <row r="15" spans="1:14" x14ac:dyDescent="0.25"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4" x14ac:dyDescent="0.25">
      <c r="A16" s="41" t="s">
        <v>57</v>
      </c>
      <c r="B16" s="5" t="s">
        <v>48</v>
      </c>
      <c r="C16" s="56">
        <f>C5+C7+C12</f>
        <v>-442.86079320390627</v>
      </c>
      <c r="D16" s="56">
        <f t="shared" ref="D16:M16" si="2">D5+D7+D12</f>
        <v>39.801133148437529</v>
      </c>
      <c r="E16" s="56">
        <f t="shared" si="2"/>
        <v>48.881761676253483</v>
      </c>
      <c r="F16" s="56">
        <f t="shared" si="2"/>
        <v>84.345479772375484</v>
      </c>
      <c r="G16" s="56">
        <f t="shared" si="2"/>
        <v>-287.59119130501676</v>
      </c>
      <c r="H16" s="56">
        <f t="shared" si="2"/>
        <v>179.36113531871803</v>
      </c>
      <c r="I16" s="56">
        <f t="shared" si="2"/>
        <v>241.6891298419724</v>
      </c>
      <c r="J16" s="56">
        <f t="shared" si="2"/>
        <v>316.10521292031575</v>
      </c>
      <c r="K16" s="56">
        <f t="shared" si="2"/>
        <v>404.57997806341541</v>
      </c>
      <c r="L16" s="56">
        <f t="shared" si="2"/>
        <v>509.3791045087994</v>
      </c>
      <c r="M16" s="56">
        <f t="shared" si="2"/>
        <v>633.10536680868677</v>
      </c>
      <c r="N16" s="56">
        <f>M16*(1+0.1)/(0.2-0.1)</f>
        <v>6964.1590348955542</v>
      </c>
    </row>
    <row r="19" spans="1:2" x14ac:dyDescent="0.25">
      <c r="A19" t="s">
        <v>49</v>
      </c>
      <c r="B19" s="12">
        <v>0.2</v>
      </c>
    </row>
    <row r="20" spans="1:2" x14ac:dyDescent="0.25">
      <c r="A20" t="s">
        <v>51</v>
      </c>
      <c r="B20" s="12">
        <v>0.15</v>
      </c>
    </row>
    <row r="21" spans="1:2" x14ac:dyDescent="0.25">
      <c r="A21" t="s">
        <v>55</v>
      </c>
      <c r="B21" s="12">
        <v>0.3</v>
      </c>
    </row>
    <row r="23" spans="1:2" x14ac:dyDescent="0.25">
      <c r="A23" t="s">
        <v>50</v>
      </c>
      <c r="B23" s="12">
        <f>1-B19</f>
        <v>0.8</v>
      </c>
    </row>
    <row r="24" spans="1:2" x14ac:dyDescent="0.25">
      <c r="A24" t="s">
        <v>52</v>
      </c>
      <c r="B24" s="12">
        <v>0.24</v>
      </c>
    </row>
    <row r="26" spans="1:2" x14ac:dyDescent="0.25">
      <c r="A26" s="2" t="s">
        <v>53</v>
      </c>
      <c r="B26" s="25">
        <f>B19*B20*(1-B21)+B23*B24</f>
        <v>0.21299999999999999</v>
      </c>
    </row>
    <row r="27" spans="1:2" x14ac:dyDescent="0.25">
      <c r="A27" t="s">
        <v>54</v>
      </c>
    </row>
    <row r="29" spans="1:2" x14ac:dyDescent="0.25">
      <c r="A29" s="2" t="s">
        <v>56</v>
      </c>
      <c r="B29" s="25">
        <f>IRR(C16:N16)</f>
        <v>0.36281601169632416</v>
      </c>
    </row>
    <row r="31" spans="1:2" x14ac:dyDescent="0.25">
      <c r="A31" s="2" t="s">
        <v>87</v>
      </c>
      <c r="B31" s="56">
        <f>NPV(B26,D16:N16)+C16</f>
        <v>863.8287754316334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Latihan NPV dan IRR</vt:lpstr>
      <vt:lpstr>Latihan CAGR</vt:lpstr>
      <vt:lpstr>Revenue</vt:lpstr>
      <vt:lpstr>Opex</vt:lpstr>
      <vt:lpstr>Capex</vt:lpstr>
      <vt:lpstr>Cash Flow and Valuation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R206</cp:lastModifiedBy>
  <dcterms:created xsi:type="dcterms:W3CDTF">2015-08-12T01:20:17Z</dcterms:created>
  <dcterms:modified xsi:type="dcterms:W3CDTF">2015-10-26T01:13:42Z</dcterms:modified>
</cp:coreProperties>
</file>